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E57C64E1-652C-47F5-8DCF-DFFF56CED037}" xr6:coauthVersionLast="45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Forside" sheetId="8" r:id="rId1"/>
    <sheet name="Resultat" sheetId="1" r:id="rId2"/>
    <sheet name="Balanse" sheetId="2" r:id="rId3"/>
    <sheet name="Kontantstrøm_Indirekte modell" sheetId="7" r:id="rId4"/>
    <sheet name="Nøkkeltall" sheetId="6" r:id="rId5"/>
    <sheet name="Vertikal analyse" sheetId="9" r:id="rId6"/>
    <sheet name="DuPont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C13" i="2"/>
  <c r="C15" i="2" s="1"/>
  <c r="B13" i="2"/>
  <c r="C4" i="2"/>
  <c r="B4" i="2"/>
  <c r="H21" i="9"/>
  <c r="D21" i="9"/>
  <c r="E21" i="9" s="1"/>
  <c r="D19" i="9"/>
  <c r="E19" i="9" s="1"/>
  <c r="F21" i="9"/>
  <c r="B21" i="9"/>
  <c r="C21" i="9" s="1"/>
  <c r="H22" i="9"/>
  <c r="I22" i="9" s="1"/>
  <c r="I21" i="9"/>
  <c r="I20" i="9"/>
  <c r="I19" i="9"/>
  <c r="I18" i="9"/>
  <c r="F22" i="9"/>
  <c r="G22" i="9" s="1"/>
  <c r="G20" i="9"/>
  <c r="E20" i="9"/>
  <c r="C20" i="9"/>
  <c r="G19" i="9"/>
  <c r="C19" i="9"/>
  <c r="G18" i="9"/>
  <c r="E18" i="9"/>
  <c r="C18" i="9"/>
  <c r="G21" i="9" l="1"/>
  <c r="B22" i="9"/>
  <c r="C22" i="9" s="1"/>
  <c r="D22" i="9"/>
  <c r="E22" i="9" s="1"/>
  <c r="D13" i="9"/>
  <c r="E13" i="9" s="1"/>
  <c r="H13" i="9"/>
  <c r="I13" i="9" s="1"/>
  <c r="F13" i="9"/>
  <c r="G13" i="9" s="1"/>
  <c r="B13" i="9"/>
  <c r="B14" i="9" s="1"/>
  <c r="C14" i="9" s="1"/>
  <c r="I12" i="9"/>
  <c r="G12" i="9"/>
  <c r="E12" i="9"/>
  <c r="C12" i="9"/>
  <c r="I11" i="9"/>
  <c r="G11" i="9"/>
  <c r="E11" i="9"/>
  <c r="C11" i="9"/>
  <c r="I10" i="9"/>
  <c r="G10" i="9"/>
  <c r="E10" i="9"/>
  <c r="C10" i="9"/>
  <c r="F5" i="9"/>
  <c r="G5" i="9" s="1"/>
  <c r="H5" i="9"/>
  <c r="H6" i="9" s="1"/>
  <c r="I6" i="9" s="1"/>
  <c r="I4" i="9"/>
  <c r="I3" i="9"/>
  <c r="I2" i="9"/>
  <c r="G4" i="9"/>
  <c r="G3" i="9"/>
  <c r="G2" i="9"/>
  <c r="E4" i="9"/>
  <c r="E3" i="9"/>
  <c r="E2" i="9"/>
  <c r="C4" i="9"/>
  <c r="C3" i="9"/>
  <c r="C2" i="9"/>
  <c r="F6" i="9"/>
  <c r="G6" i="9" s="1"/>
  <c r="D5" i="9"/>
  <c r="D6" i="9" s="1"/>
  <c r="E6" i="9" s="1"/>
  <c r="B5" i="9"/>
  <c r="C5" i="9" s="1"/>
  <c r="E5" i="9" l="1"/>
  <c r="C13" i="9"/>
  <c r="D14" i="9"/>
  <c r="E14" i="9" s="1"/>
  <c r="F14" i="9"/>
  <c r="G14" i="9" s="1"/>
  <c r="H14" i="9"/>
  <c r="I14" i="9" s="1"/>
  <c r="I5" i="9"/>
  <c r="B6" i="9"/>
  <c r="C6" i="9" s="1"/>
  <c r="B29" i="6"/>
  <c r="B28" i="6"/>
  <c r="B9" i="1"/>
  <c r="K19" i="5" s="1"/>
  <c r="E23" i="7"/>
  <c r="B31" i="6"/>
  <c r="B10" i="2"/>
  <c r="C10" i="2"/>
  <c r="C13" i="6" s="1"/>
  <c r="E11" i="7"/>
  <c r="B33" i="6"/>
  <c r="B32" i="6"/>
  <c r="C22" i="2"/>
  <c r="C15" i="6" s="1"/>
  <c r="B22" i="2"/>
  <c r="B23" i="2" s="1"/>
  <c r="C14" i="6"/>
  <c r="B2" i="6"/>
  <c r="E32" i="7"/>
  <c r="E28" i="7"/>
  <c r="E10" i="7"/>
  <c r="E9" i="7"/>
  <c r="E8" i="7"/>
  <c r="E6" i="7"/>
  <c r="E16" i="7" s="1"/>
  <c r="E18" i="7" s="1"/>
  <c r="E4" i="7"/>
  <c r="C21" i="6"/>
  <c r="B15" i="2"/>
  <c r="B21" i="6" s="1"/>
  <c r="C5" i="2"/>
  <c r="B5" i="2"/>
  <c r="C4" i="1"/>
  <c r="C10" i="1" s="1"/>
  <c r="C13" i="1" s="1"/>
  <c r="C15" i="1" s="1"/>
  <c r="C9" i="1"/>
  <c r="B4" i="1"/>
  <c r="K22" i="5"/>
  <c r="N3" i="5"/>
  <c r="K8" i="5" s="1"/>
  <c r="N6" i="5"/>
  <c r="N9" i="5"/>
  <c r="B10" i="1" l="1"/>
  <c r="B36" i="6" s="1"/>
  <c r="K16" i="5"/>
  <c r="H16" i="5" s="1"/>
  <c r="C23" i="2"/>
  <c r="C19" i="6" s="1"/>
  <c r="C22" i="6"/>
  <c r="K11" i="5"/>
  <c r="H9" i="5" s="1"/>
  <c r="B22" i="6"/>
  <c r="B15" i="6"/>
  <c r="B11" i="2"/>
  <c r="C11" i="6"/>
  <c r="B27" i="6"/>
  <c r="B30" i="6" s="1"/>
  <c r="B20" i="6"/>
  <c r="B19" i="6"/>
  <c r="B24" i="2"/>
  <c r="B18" i="6" s="1"/>
  <c r="H6" i="5"/>
  <c r="B11" i="6"/>
  <c r="B12" i="6" s="1"/>
  <c r="B13" i="6"/>
  <c r="C11" i="2"/>
  <c r="B14" i="6"/>
  <c r="B13" i="1" l="1"/>
  <c r="B3" i="6"/>
  <c r="B4" i="6"/>
  <c r="C24" i="2"/>
  <c r="C18" i="6" s="1"/>
  <c r="H19" i="5"/>
  <c r="E18" i="5" s="1"/>
  <c r="E8" i="5"/>
  <c r="B26" i="2"/>
  <c r="B7" i="6" l="1"/>
  <c r="B13" i="5"/>
  <c r="B23" i="6"/>
  <c r="E3" i="7"/>
  <c r="E12" i="7" s="1"/>
  <c r="B37" i="6" s="1"/>
  <c r="B6" i="6"/>
  <c r="B24" i="6" s="1"/>
  <c r="B35" i="6"/>
  <c r="B34" i="6"/>
  <c r="B5" i="6"/>
  <c r="B15" i="1"/>
  <c r="B8" i="6" s="1"/>
  <c r="C26" i="2"/>
  <c r="E27" i="7" l="1"/>
  <c r="E29" i="7" s="1"/>
  <c r="E31" i="7" s="1"/>
  <c r="E33" i="7" s="1"/>
</calcChain>
</file>

<file path=xl/sharedStrings.xml><?xml version="1.0" encoding="utf-8"?>
<sst xmlns="http://schemas.openxmlformats.org/spreadsheetml/2006/main" count="213" uniqueCount="161">
  <si>
    <t>RESULTATREGNSKAP</t>
  </si>
  <si>
    <t>Andre driftsinntekter</t>
  </si>
  <si>
    <t>Sum driftsinntekter</t>
  </si>
  <si>
    <t>Vareforbruk</t>
  </si>
  <si>
    <t>Lønnskostnader</t>
  </si>
  <si>
    <t>Ordinære avskrivninger</t>
  </si>
  <si>
    <t>Andre driftskostnader</t>
  </si>
  <si>
    <t>Driftsresultat</t>
  </si>
  <si>
    <t>Sum driftskostnader</t>
  </si>
  <si>
    <t>Finansinntekter</t>
  </si>
  <si>
    <t>Skatt</t>
  </si>
  <si>
    <t>Ordinært resultat</t>
  </si>
  <si>
    <t>BALANSEREGNSKAP</t>
  </si>
  <si>
    <t>Sum anleggsmidler</t>
  </si>
  <si>
    <t>Kundefordringer</t>
  </si>
  <si>
    <t>Sum omløpsmidler</t>
  </si>
  <si>
    <t>Sum eiendeler</t>
  </si>
  <si>
    <t>Sum innskutt egenkapital</t>
  </si>
  <si>
    <t>Sum opptjent egenkapital</t>
  </si>
  <si>
    <t>Sum egenkapital</t>
  </si>
  <si>
    <t>Leverandørgjeld</t>
  </si>
  <si>
    <t>Skyldig offentlige avgifter</t>
  </si>
  <si>
    <t>Utbytte</t>
  </si>
  <si>
    <t>Sum kortsiktig gjeld</t>
  </si>
  <si>
    <t>Sum gjeld</t>
  </si>
  <si>
    <t>Varige driftsmidler</t>
  </si>
  <si>
    <t>Finansielle anleggsmidler</t>
  </si>
  <si>
    <t>Varelager</t>
  </si>
  <si>
    <t>Andre fordringer</t>
  </si>
  <si>
    <t>Bank</t>
  </si>
  <si>
    <t>Sum langsiktig gjeld og forpliktelser</t>
  </si>
  <si>
    <t>Annen kortsiktig gjeld</t>
  </si>
  <si>
    <t>Sum egenkapital og gjeld</t>
  </si>
  <si>
    <t>Salgsinntekter</t>
  </si>
  <si>
    <t>Betalbar skatt</t>
  </si>
  <si>
    <t>Utsatt skattefordel</t>
  </si>
  <si>
    <t>Rentabilitet</t>
  </si>
  <si>
    <t>Likviditet</t>
  </si>
  <si>
    <t>Soliditet</t>
  </si>
  <si>
    <t>Ordinært resultat før skatt</t>
  </si>
  <si>
    <t>DuPont-modellen</t>
  </si>
  <si>
    <t>+</t>
  </si>
  <si>
    <t>Fordringer</t>
  </si>
  <si>
    <t>Kap. omløp</t>
  </si>
  <si>
    <t>:</t>
  </si>
  <si>
    <t>Omløpsmidler</t>
  </si>
  <si>
    <t>Totalkapital</t>
  </si>
  <si>
    <t>Anleggsmidler</t>
  </si>
  <si>
    <t>TKR før skatt</t>
  </si>
  <si>
    <t>x</t>
  </si>
  <si>
    <t>Resultat</t>
  </si>
  <si>
    <t>Driftsinntekter</t>
  </si>
  <si>
    <t>Res.grad</t>
  </si>
  <si>
    <t>-</t>
  </si>
  <si>
    <t>Driftskostnader</t>
  </si>
  <si>
    <t>Operasjonell kontantstrøm:</t>
  </si>
  <si>
    <t>EBITDA:</t>
  </si>
  <si>
    <t>Selvfinansieringsevne:</t>
  </si>
  <si>
    <t>Residualresultat:</t>
  </si>
  <si>
    <t>Salg per kvadratmeter:</t>
  </si>
  <si>
    <t>Salg per årsverk:</t>
  </si>
  <si>
    <t>Personalkostnadsprosent:</t>
  </si>
  <si>
    <t>Gjennomsnittlig lagringstid varelager:</t>
  </si>
  <si>
    <t>Kredittid hos leverandører:</t>
  </si>
  <si>
    <t>Kredittid til kunder:</t>
  </si>
  <si>
    <t>Diverse nøkkeltall</t>
  </si>
  <si>
    <t>Brekkstangformelen:</t>
  </si>
  <si>
    <t>Rentedekningsgrad:</t>
  </si>
  <si>
    <t>Finansieringsgrad 1:</t>
  </si>
  <si>
    <t>Langsiktig kapital:</t>
  </si>
  <si>
    <t>Gjeldsgrad:</t>
  </si>
  <si>
    <t>Egenkapitalprosent:</t>
  </si>
  <si>
    <t>Likviditetsgrad 3:</t>
  </si>
  <si>
    <t>Likviditetsgrad 2:</t>
  </si>
  <si>
    <t>Likviditetsgrad 1:</t>
  </si>
  <si>
    <t>Arbeidskapital i prosent av salget:</t>
  </si>
  <si>
    <t>Arbeidskapital:</t>
  </si>
  <si>
    <t>Totalkapitalrentabilitet:</t>
  </si>
  <si>
    <t>Resultatmargin:</t>
  </si>
  <si>
    <t>Driftsmargin:</t>
  </si>
  <si>
    <t>EBITDA-margin:</t>
  </si>
  <si>
    <t>Bruttofortjenesteprosent:</t>
  </si>
  <si>
    <t>Kontantstrømoppstilling - Indirekte metode</t>
  </si>
  <si>
    <t>Kontantstrømmer fra operasjonelle aktiviteter</t>
  </si>
  <si>
    <t>Ordinært resultat før skattekostnad</t>
  </si>
  <si>
    <t>Periodens betalte skatt</t>
  </si>
  <si>
    <t>-/+</t>
  </si>
  <si>
    <t>Gevinst/Tap ved salg av anleggsmidler</t>
  </si>
  <si>
    <t>Nedskrivning anleggsmidler</t>
  </si>
  <si>
    <t>Endring i varelager</t>
  </si>
  <si>
    <t>Ending i kundefordringer</t>
  </si>
  <si>
    <t>Endring i leverandørgjeld</t>
  </si>
  <si>
    <t>Endring i andre tidsavgrensingsposter</t>
  </si>
  <si>
    <t>=</t>
  </si>
  <si>
    <t>Netto kontantstrømmer fra operasjonelle aktiviteter</t>
  </si>
  <si>
    <t>Kontantstrømmer fra investeringsaktiviteter</t>
  </si>
  <si>
    <t>Innbetalinger ved salg av varige driftsmidler</t>
  </si>
  <si>
    <t>Utbetalinger ved kjøp av varige driftsmidler</t>
  </si>
  <si>
    <t>Inn-/utbetalinger fra andre investeringer</t>
  </si>
  <si>
    <t>Netto kontantstrømmer fra investeringsaktiviteter</t>
  </si>
  <si>
    <t>Kontantstrømmer fra finansieringsaktiviteter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</si>
  <si>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</si>
  <si>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</si>
  <si>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</si>
  <si>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</si>
  <si>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Netto endring i kassekreditt</t>
  </si>
  <si>
    <t>Innbetalinger av ny egenkapital (emisjon)</t>
  </si>
  <si>
    <t>Tilbakebetalinger av egenkapital</t>
  </si>
  <si>
    <t>Utbetalinger av utbytte</t>
  </si>
  <si>
    <t>Netto kontantstrømmer fra finansieringsaktiviteter</t>
  </si>
  <si>
    <t>Netto endring kontanter og kontantekvivalenter</t>
  </si>
  <si>
    <t>Kontanter og kontantekvivalenter 01.01</t>
  </si>
  <si>
    <t>Kontanter og kontantekvivalenter 31.12</t>
  </si>
  <si>
    <t>Renteinntekter</t>
  </si>
  <si>
    <t>Rentekostnader</t>
  </si>
  <si>
    <t>Egenkapitalrentabilitet før skatt:</t>
  </si>
  <si>
    <t>Egenkapitalrentabilitet etter skatt:</t>
  </si>
  <si>
    <t>Kontroll:</t>
  </si>
  <si>
    <t>NB! Husk å skille ut rentekostnader fra totale finanskostnader!</t>
  </si>
  <si>
    <t>NB! Antar at bankinnskuddet i sin helhet er disponibelt, dvs. bedriftens skattetrekksmidler må holdes utenfor!</t>
  </si>
  <si>
    <t>Gjennomsnittlig gjeldsgrad:</t>
  </si>
  <si>
    <t>Antall årsverk i salg</t>
  </si>
  <si>
    <t>Antall kvadratmeter salgsareal</t>
  </si>
  <si>
    <t>Avkastningskrav</t>
  </si>
  <si>
    <t>Kontantkonverteringsperiode:</t>
  </si>
  <si>
    <t>Inneholder formelen "hvis" for å kontrollere beregningen.</t>
  </si>
  <si>
    <t>Effektiv lånerente. Husk at denne påvirkes av sammensettingen rentefri vs. rentebæende gjeld.</t>
  </si>
  <si>
    <t>År 1</t>
  </si>
  <si>
    <t>År 0</t>
  </si>
  <si>
    <t>Andel kredittkjøp. Mva.-satsen er kodet direkte i formelen.</t>
  </si>
  <si>
    <t>Andel kredittsalg. Mva.-satsen er kodet direkte i formelen.</t>
  </si>
  <si>
    <t>I dette arket legger du inn de ulike resultatpostene. Oppsettet er veiledende. F.eks. kan finanspostene deles i renter og andre finansposter. Skatt kan deles i utsatt skatt og betalbar skatt.</t>
  </si>
  <si>
    <t>I dette arket legger du inn de ulike balansepostene. Oppsettet er veiledende mht. hvilke hovedpsoter det er ønskelig å ta med.</t>
  </si>
  <si>
    <t>Dette arket henter alle tall fra resultat og balanse; du behøver i utgangspunktet ikke å legge inn tall her.</t>
  </si>
  <si>
    <t>NB! Om oppsettet i Resultat og balanse endres, må også formlene her kontrolleres!</t>
  </si>
  <si>
    <t>Dette arket bygger i sin helhet på Resultat og Balanse. Ev. endringer der medfører at formlene her må kontrolleres.</t>
  </si>
  <si>
    <r>
      <t xml:space="preserve">Dette arket bygger på Resultat og Balanse. Tallene i D-kolonna med </t>
    </r>
    <r>
      <rPr>
        <i/>
        <sz val="11"/>
        <color rgb="FF0000FF"/>
        <rFont val="Garamond"/>
        <family val="1"/>
      </rPr>
      <t>blå</t>
    </r>
    <r>
      <rPr>
        <i/>
        <sz val="11"/>
        <color theme="1"/>
        <rFont val="Garamond"/>
        <family val="1"/>
      </rPr>
      <t xml:space="preserve"> skrift, må oppdateres i hvert tilfelle.</t>
    </r>
  </si>
  <si>
    <t>Balanse</t>
  </si>
  <si>
    <t>Kontantstrøm etter indirekte modell</t>
  </si>
  <si>
    <t>Nøkkeltallsberegninger</t>
  </si>
  <si>
    <t>1)</t>
  </si>
  <si>
    <t>2)</t>
  </si>
  <si>
    <t>3)</t>
  </si>
  <si>
    <t>4)</t>
  </si>
  <si>
    <t>5)</t>
  </si>
  <si>
    <t>6)</t>
  </si>
  <si>
    <t>Vertikal analyse</t>
  </si>
  <si>
    <t>Bergans</t>
  </si>
  <si>
    <t>Norrøna</t>
  </si>
  <si>
    <t>Stormberg</t>
  </si>
  <si>
    <t>Varekostnader</t>
  </si>
  <si>
    <t>Hagløfs</t>
  </si>
  <si>
    <t>Driftsresultat/driftsmargin</t>
  </si>
  <si>
    <t>KPMG</t>
  </si>
  <si>
    <t>Norconsult</t>
  </si>
  <si>
    <t>Multiconsult</t>
  </si>
  <si>
    <t>Rambøll</t>
  </si>
  <si>
    <t>Medicus</t>
  </si>
  <si>
    <t>Spiren</t>
  </si>
  <si>
    <t>Sentrum</t>
  </si>
  <si>
    <t>Hausken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</si>
</sst>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333333"/>
      <name val="Garamond"/>
      <family val="1"/>
    </font>
    <font>
      <sz val="11"/>
      <color rgb="FF333333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theme="1"/>
      <name val="Garamond"/>
      <family val="1"/>
    </font>
    <font>
      <b/>
      <u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rgb="FF0000FF"/>
      <name val="Garamond"/>
      <family val="1"/>
    </font>
    <font>
      <i/>
      <sz val="11"/>
      <color rgb="FF0000FF"/>
      <name val="Garamond"/>
      <family val="1"/>
    </font>
    <font>
      <i/>
      <sz val="1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5" xfId="0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65" fontId="6" fillId="0" borderId="11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65" fontId="5" fillId="0" borderId="11" xfId="1" applyNumberFormat="1" applyFont="1" applyFill="1" applyBorder="1" applyAlignment="1">
      <alignment vertical="center"/>
    </xf>
    <xf numFmtId="0" fontId="5" fillId="0" borderId="7" xfId="0" applyFont="1" applyFill="1" applyBorder="1"/>
    <xf numFmtId="0" fontId="7" fillId="0" borderId="0" xfId="0" applyFont="1"/>
    <xf numFmtId="165" fontId="5" fillId="0" borderId="8" xfId="0" applyNumberFormat="1" applyFont="1" applyFill="1" applyBorder="1"/>
    <xf numFmtId="0" fontId="7" fillId="0" borderId="3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165" fontId="6" fillId="0" borderId="19" xfId="1" applyNumberFormat="1" applyFont="1" applyFill="1" applyBorder="1" applyAlignment="1">
      <alignment vertical="center"/>
    </xf>
    <xf numFmtId="165" fontId="5" fillId="0" borderId="19" xfId="1" applyNumberFormat="1" applyFont="1" applyFill="1" applyBorder="1" applyAlignment="1">
      <alignment vertical="center"/>
    </xf>
    <xf numFmtId="165" fontId="6" fillId="0" borderId="20" xfId="1" applyNumberFormat="1" applyFont="1" applyFill="1" applyBorder="1" applyAlignment="1">
      <alignment vertical="center"/>
    </xf>
    <xf numFmtId="165" fontId="5" fillId="0" borderId="20" xfId="1" applyNumberFormat="1" applyFont="1" applyFill="1" applyBorder="1" applyAlignment="1">
      <alignment vertical="center"/>
    </xf>
    <xf numFmtId="165" fontId="5" fillId="0" borderId="21" xfId="0" applyNumberFormat="1" applyFont="1" applyFill="1" applyBorder="1"/>
    <xf numFmtId="0" fontId="8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14" xfId="0" applyFont="1" applyBorder="1"/>
    <xf numFmtId="0" fontId="9" fillId="0" borderId="0" xfId="0" applyFont="1" applyBorder="1"/>
    <xf numFmtId="0" fontId="9" fillId="0" borderId="11" xfId="0" applyFont="1" applyBorder="1"/>
    <xf numFmtId="0" fontId="9" fillId="0" borderId="15" xfId="0" applyFont="1" applyBorder="1"/>
    <xf numFmtId="165" fontId="9" fillId="0" borderId="12" xfId="1" applyNumberFormat="1" applyFont="1" applyBorder="1"/>
    <xf numFmtId="0" fontId="9" fillId="0" borderId="0" xfId="0" quotePrefix="1" applyFont="1" applyBorder="1" applyAlignment="1">
      <alignment horizontal="center"/>
    </xf>
    <xf numFmtId="164" fontId="9" fillId="0" borderId="12" xfId="1" applyFont="1" applyBorder="1"/>
    <xf numFmtId="165" fontId="9" fillId="0" borderId="12" xfId="0" applyNumberFormat="1" applyFont="1" applyBorder="1"/>
    <xf numFmtId="10" fontId="9" fillId="0" borderId="0" xfId="2" applyNumberFormat="1" applyFont="1" applyBorder="1"/>
    <xf numFmtId="10" fontId="9" fillId="0" borderId="12" xfId="2" applyNumberFormat="1" applyFont="1" applyBorder="1"/>
    <xf numFmtId="0" fontId="9" fillId="0" borderId="16" xfId="0" applyFont="1" applyBorder="1"/>
    <xf numFmtId="0" fontId="9" fillId="0" borderId="25" xfId="0" applyFont="1" applyBorder="1"/>
    <xf numFmtId="0" fontId="9" fillId="0" borderId="17" xfId="0" applyFont="1" applyBorder="1"/>
    <xf numFmtId="0" fontId="8" fillId="0" borderId="23" xfId="0" applyFont="1" applyBorder="1"/>
    <xf numFmtId="164" fontId="4" fillId="2" borderId="1" xfId="1" applyFont="1" applyFill="1" applyBorder="1" applyAlignment="1">
      <alignment horizontal="right" vertical="top"/>
    </xf>
    <xf numFmtId="164" fontId="4" fillId="2" borderId="6" xfId="1" applyFont="1" applyFill="1" applyBorder="1" applyAlignment="1">
      <alignment horizontal="right" vertical="top"/>
    </xf>
    <xf numFmtId="43" fontId="2" fillId="0" borderId="0" xfId="0" applyNumberFormat="1" applyFont="1"/>
    <xf numFmtId="10" fontId="2" fillId="0" borderId="0" xfId="2" applyNumberFormat="1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quotePrefix="1" applyFont="1" applyAlignment="1">
      <alignment horizontal="center"/>
    </xf>
    <xf numFmtId="0" fontId="2" fillId="0" borderId="26" xfId="0" applyFont="1" applyBorder="1"/>
    <xf numFmtId="0" fontId="2" fillId="0" borderId="26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3" fillId="2" borderId="13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2" fillId="2" borderId="0" xfId="1" applyFont="1" applyFill="1"/>
    <xf numFmtId="0" fontId="2" fillId="2" borderId="0" xfId="0" applyFont="1" applyFill="1" applyAlignment="1">
      <alignment horizontal="left"/>
    </xf>
    <xf numFmtId="166" fontId="2" fillId="2" borderId="0" xfId="1" applyNumberFormat="1" applyFont="1" applyFill="1"/>
    <xf numFmtId="165" fontId="2" fillId="2" borderId="0" xfId="1" applyNumberFormat="1" applyFont="1" applyFill="1"/>
    <xf numFmtId="166" fontId="2" fillId="2" borderId="0" xfId="1" applyNumberFormat="1" applyFont="1" applyFill="1" applyAlignment="1">
      <alignment horizontal="center"/>
    </xf>
    <xf numFmtId="9" fontId="12" fillId="0" borderId="0" xfId="0" applyNumberFormat="1" applyFont="1"/>
    <xf numFmtId="165" fontId="12" fillId="0" borderId="0" xfId="1" applyNumberFormat="1" applyFont="1"/>
    <xf numFmtId="164" fontId="2" fillId="0" borderId="0" xfId="0" applyNumberFormat="1" applyFont="1"/>
    <xf numFmtId="10" fontId="12" fillId="0" borderId="0" xfId="0" applyNumberFormat="1" applyFont="1"/>
    <xf numFmtId="10" fontId="2" fillId="0" borderId="1" xfId="2" applyNumberFormat="1" applyFont="1" applyBorder="1"/>
    <xf numFmtId="0" fontId="7" fillId="0" borderId="2" xfId="0" applyFont="1" applyBorder="1"/>
    <xf numFmtId="0" fontId="7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0" fontId="2" fillId="0" borderId="8" xfId="2" applyNumberFormat="1" applyFont="1" applyBorder="1"/>
    <xf numFmtId="0" fontId="2" fillId="0" borderId="9" xfId="0" applyFont="1" applyBorder="1"/>
    <xf numFmtId="167" fontId="2" fillId="0" borderId="1" xfId="3" applyNumberFormat="1" applyFont="1" applyBorder="1"/>
    <xf numFmtId="43" fontId="2" fillId="0" borderId="1" xfId="3" applyFont="1" applyBorder="1"/>
    <xf numFmtId="10" fontId="2" fillId="0" borderId="3" xfId="2" applyNumberFormat="1" applyFont="1" applyBorder="1"/>
    <xf numFmtId="0" fontId="2" fillId="0" borderId="4" xfId="0" applyFont="1" applyBorder="1"/>
    <xf numFmtId="167" fontId="2" fillId="0" borderId="6" xfId="3" applyNumberFormat="1" applyFont="1" applyBorder="1"/>
    <xf numFmtId="43" fontId="2" fillId="0" borderId="6" xfId="3" applyFont="1" applyBorder="1"/>
    <xf numFmtId="43" fontId="2" fillId="0" borderId="8" xfId="3" applyFont="1" applyBorder="1"/>
    <xf numFmtId="43" fontId="2" fillId="0" borderId="9" xfId="3" applyFont="1" applyBorder="1"/>
    <xf numFmtId="9" fontId="2" fillId="0" borderId="1" xfId="2" applyFont="1" applyBorder="1"/>
    <xf numFmtId="164" fontId="2" fillId="0" borderId="1" xfId="1" applyFont="1" applyBorder="1"/>
    <xf numFmtId="9" fontId="2" fillId="0" borderId="6" xfId="2" applyFont="1" applyBorder="1"/>
    <xf numFmtId="10" fontId="2" fillId="0" borderId="6" xfId="2" applyNumberFormat="1" applyFont="1" applyBorder="1"/>
    <xf numFmtId="10" fontId="2" fillId="0" borderId="8" xfId="0" applyNumberFormat="1" applyFont="1" applyBorder="1"/>
    <xf numFmtId="10" fontId="2" fillId="0" borderId="4" xfId="2" applyNumberFormat="1" applyFont="1" applyBorder="1"/>
    <xf numFmtId="167" fontId="2" fillId="0" borderId="9" xfId="3" applyNumberFormat="1" applyFont="1" applyBorder="1"/>
    <xf numFmtId="0" fontId="10" fillId="2" borderId="0" xfId="0" applyFont="1" applyFill="1"/>
    <xf numFmtId="0" fontId="14" fillId="0" borderId="0" xfId="0" applyFont="1" applyFill="1"/>
    <xf numFmtId="0" fontId="2" fillId="0" borderId="1" xfId="0" applyFont="1" applyBorder="1" applyAlignment="1">
      <alignment horizontal="center"/>
    </xf>
    <xf numFmtId="0" fontId="16" fillId="0" borderId="1" xfId="4" applyFont="1" applyBorder="1"/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165" fontId="5" fillId="0" borderId="5" xfId="1" applyNumberFormat="1" applyFont="1" applyFill="1" applyBorder="1" applyAlignment="1">
      <alignment vertical="center"/>
    </xf>
    <xf numFmtId="165" fontId="6" fillId="0" borderId="5" xfId="1" applyNumberFormat="1" applyFont="1" applyFill="1" applyBorder="1" applyAlignment="1">
      <alignment vertical="center"/>
    </xf>
    <xf numFmtId="9" fontId="5" fillId="0" borderId="6" xfId="2" applyFont="1" applyFill="1" applyBorder="1" applyAlignment="1">
      <alignment vertical="center"/>
    </xf>
    <xf numFmtId="9" fontId="6" fillId="0" borderId="6" xfId="2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165" fontId="5" fillId="0" borderId="7" xfId="1" applyNumberFormat="1" applyFont="1" applyFill="1" applyBorder="1" applyAlignment="1">
      <alignment vertical="center"/>
    </xf>
    <xf numFmtId="9" fontId="5" fillId="0" borderId="9" xfId="2" applyFont="1" applyFill="1" applyBorder="1" applyAlignment="1">
      <alignment vertical="center"/>
    </xf>
    <xf numFmtId="9" fontId="6" fillId="0" borderId="0" xfId="2" applyFont="1" applyFill="1"/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right" vertical="top"/>
    </xf>
    <xf numFmtId="165" fontId="4" fillId="2" borderId="6" xfId="1" applyNumberFormat="1" applyFont="1" applyFill="1" applyBorder="1" applyAlignment="1">
      <alignment horizontal="right" vertical="top"/>
    </xf>
    <xf numFmtId="165" fontId="2" fillId="2" borderId="1" xfId="1" applyNumberFormat="1" applyFont="1" applyFill="1" applyBorder="1" applyAlignment="1">
      <alignment horizontal="right"/>
    </xf>
    <xf numFmtId="165" fontId="2" fillId="2" borderId="6" xfId="1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 vertical="top"/>
    </xf>
    <xf numFmtId="165" fontId="3" fillId="2" borderId="6" xfId="1" applyNumberFormat="1" applyFont="1" applyFill="1" applyBorder="1" applyAlignment="1">
      <alignment horizontal="right" vertical="top"/>
    </xf>
    <xf numFmtId="165" fontId="3" fillId="2" borderId="8" xfId="1" applyNumberFormat="1" applyFont="1" applyFill="1" applyBorder="1" applyAlignment="1">
      <alignment horizontal="right" vertical="top"/>
    </xf>
    <xf numFmtId="165" fontId="3" fillId="2" borderId="9" xfId="1" applyNumberFormat="1" applyFont="1" applyFill="1" applyBorder="1" applyAlignment="1">
      <alignment horizontal="right" vertical="top"/>
    </xf>
    <xf numFmtId="165" fontId="4" fillId="2" borderId="13" xfId="1" applyNumberFormat="1" applyFont="1" applyFill="1" applyBorder="1" applyAlignment="1">
      <alignment horizontal="right" vertical="top"/>
    </xf>
    <xf numFmtId="165" fontId="4" fillId="2" borderId="3" xfId="1" applyNumberFormat="1" applyFont="1" applyFill="1" applyBorder="1" applyAlignment="1">
      <alignment horizontal="right" vertical="top"/>
    </xf>
    <xf numFmtId="165" fontId="4" fillId="2" borderId="4" xfId="1" applyNumberFormat="1" applyFont="1" applyFill="1" applyBorder="1" applyAlignment="1">
      <alignment horizontal="right" vertical="top"/>
    </xf>
    <xf numFmtId="165" fontId="2" fillId="0" borderId="0" xfId="1" applyNumberFormat="1" applyFont="1"/>
    <xf numFmtId="165" fontId="2" fillId="0" borderId="26" xfId="1" applyNumberFormat="1" applyFont="1" applyBorder="1"/>
  </cellXfs>
  <cellStyles count="5">
    <cellStyle name="Comma" xfId="1" builtinId="3"/>
    <cellStyle name="Hyperlink" xfId="4" builtinId="8"/>
    <cellStyle name="Komma 2" xfId="3" xr:uid="{00000000-0005-0000-0000-000002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7</xdr:row>
      <xdr:rowOff>0</xdr:rowOff>
    </xdr:from>
    <xdr:to>
      <xdr:col>3</xdr:col>
      <xdr:colOff>0</xdr:colOff>
      <xdr:row>17</xdr:row>
      <xdr:rowOff>9525</xdr:rowOff>
    </xdr:to>
    <xdr:cxnSp macro="">
      <xdr:nvCxnSpPr>
        <xdr:cNvPr id="2" name="Rett linj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1181100" y="1333500"/>
          <a:ext cx="0" cy="1914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380999</xdr:colOff>
      <xdr:row>7</xdr:row>
      <xdr:rowOff>0</xdr:rowOff>
    </xdr:from>
    <xdr:to>
      <xdr:col>3</xdr:col>
      <xdr:colOff>179999</xdr:colOff>
      <xdr:row>7</xdr:row>
      <xdr:rowOff>0</xdr:rowOff>
    </xdr:to>
    <xdr:cxnSp macro="">
      <xdr:nvCxnSpPr>
        <xdr:cNvPr id="3" name="Rett linj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181099" y="1333500"/>
          <a:ext cx="1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161925</xdr:colOff>
      <xdr:row>17</xdr:row>
      <xdr:rowOff>0</xdr:rowOff>
    </xdr:to>
    <xdr:cxnSp macro="">
      <xdr:nvCxnSpPr>
        <xdr:cNvPr id="4" name="Rett linj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181100" y="3238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161925</xdr:colOff>
      <xdr:row>5</xdr:row>
      <xdr:rowOff>0</xdr:rowOff>
    </xdr:to>
    <xdr:cxnSp macro="">
      <xdr:nvCxnSpPr>
        <xdr:cNvPr id="5" name="Rett linj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476500" y="952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171450</xdr:rowOff>
    </xdr:from>
    <xdr:to>
      <xdr:col>6</xdr:col>
      <xdr:colOff>161925</xdr:colOff>
      <xdr:row>7</xdr:row>
      <xdr:rowOff>171450</xdr:rowOff>
    </xdr:to>
    <xdr:cxnSp macro="">
      <xdr:nvCxnSpPr>
        <xdr:cNvPr id="6" name="Rett linj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2476500" y="150495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161925</xdr:colOff>
      <xdr:row>15</xdr:row>
      <xdr:rowOff>0</xdr:rowOff>
    </xdr:to>
    <xdr:cxnSp macro="">
      <xdr:nvCxnSpPr>
        <xdr:cNvPr id="7" name="Rett linj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2476500" y="2857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18</xdr:row>
      <xdr:rowOff>47625</xdr:rowOff>
    </xdr:from>
    <xdr:to>
      <xdr:col>6</xdr:col>
      <xdr:colOff>163050</xdr:colOff>
      <xdr:row>18</xdr:row>
      <xdr:rowOff>47625</xdr:rowOff>
    </xdr:to>
    <xdr:cxnSp macro="">
      <xdr:nvCxnSpPr>
        <xdr:cNvPr id="8" name="Rett linj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2495550" y="3476625"/>
          <a:ext cx="14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161925</xdr:colOff>
      <xdr:row>7</xdr:row>
      <xdr:rowOff>0</xdr:rowOff>
    </xdr:to>
    <xdr:cxnSp macro="">
      <xdr:nvCxnSpPr>
        <xdr:cNvPr id="9" name="Rett linj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3952875" y="1333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180975</xdr:rowOff>
    </xdr:from>
    <xdr:to>
      <xdr:col>9</xdr:col>
      <xdr:colOff>161925</xdr:colOff>
      <xdr:row>9</xdr:row>
      <xdr:rowOff>180975</xdr:rowOff>
    </xdr:to>
    <xdr:cxnSp macro="">
      <xdr:nvCxnSpPr>
        <xdr:cNvPr id="10" name="Rett linj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3952875" y="1895475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180975</xdr:rowOff>
    </xdr:from>
    <xdr:to>
      <xdr:col>9</xdr:col>
      <xdr:colOff>161925</xdr:colOff>
      <xdr:row>14</xdr:row>
      <xdr:rowOff>180975</xdr:rowOff>
    </xdr:to>
    <xdr:cxnSp macro="">
      <xdr:nvCxnSpPr>
        <xdr:cNvPr id="11" name="Rett linj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3952875" y="2847975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161925</xdr:colOff>
      <xdr:row>18</xdr:row>
      <xdr:rowOff>0</xdr:rowOff>
    </xdr:to>
    <xdr:cxnSp macro="">
      <xdr:nvCxnSpPr>
        <xdr:cNvPr id="12" name="Rett linj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3952875" y="34290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161925</xdr:colOff>
      <xdr:row>21</xdr:row>
      <xdr:rowOff>0</xdr:rowOff>
    </xdr:to>
    <xdr:cxnSp macro="">
      <xdr:nvCxnSpPr>
        <xdr:cNvPr id="13" name="Rett linj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3952875" y="4000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161925</xdr:colOff>
      <xdr:row>5</xdr:row>
      <xdr:rowOff>0</xdr:rowOff>
    </xdr:to>
    <xdr:cxnSp macro="">
      <xdr:nvCxnSpPr>
        <xdr:cNvPr id="14" name="Rett linj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5514975" y="952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180975</xdr:rowOff>
    </xdr:from>
    <xdr:to>
      <xdr:col>12</xdr:col>
      <xdr:colOff>161925</xdr:colOff>
      <xdr:row>7</xdr:row>
      <xdr:rowOff>180975</xdr:rowOff>
    </xdr:to>
    <xdr:cxnSp macro="">
      <xdr:nvCxnSpPr>
        <xdr:cNvPr id="15" name="Rett linj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5514975" y="1514475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</xdr:row>
      <xdr:rowOff>180975</xdr:rowOff>
    </xdr:from>
    <xdr:to>
      <xdr:col>12</xdr:col>
      <xdr:colOff>161925</xdr:colOff>
      <xdr:row>1</xdr:row>
      <xdr:rowOff>180975</xdr:rowOff>
    </xdr:to>
    <xdr:cxnSp macro="">
      <xdr:nvCxnSpPr>
        <xdr:cNvPr id="16" name="Rett linj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5514975" y="371475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9525</xdr:rowOff>
    </xdr:from>
    <xdr:to>
      <xdr:col>2</xdr:col>
      <xdr:colOff>576000</xdr:colOff>
      <xdr:row>12</xdr:row>
      <xdr:rowOff>9525</xdr:rowOff>
    </xdr:to>
    <xdr:cxnSp macro="">
      <xdr:nvCxnSpPr>
        <xdr:cNvPr id="17" name="Rett pil 3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flipH="1">
          <a:off x="800100" y="2295525"/>
          <a:ext cx="385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180975</xdr:rowOff>
    </xdr:from>
    <xdr:to>
      <xdr:col>5</xdr:col>
      <xdr:colOff>360000</xdr:colOff>
      <xdr:row>6</xdr:row>
      <xdr:rowOff>180975</xdr:rowOff>
    </xdr:to>
    <xdr:cxnSp macro="">
      <xdr:nvCxnSpPr>
        <xdr:cNvPr id="18" name="Rett pil 3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flipH="1">
          <a:off x="2095500" y="1323975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360000</xdr:colOff>
      <xdr:row>17</xdr:row>
      <xdr:rowOff>9525</xdr:rowOff>
    </xdr:to>
    <xdr:cxnSp macro="">
      <xdr:nvCxnSpPr>
        <xdr:cNvPr id="19" name="Rett pil 3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flipH="1">
          <a:off x="2095500" y="3248025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360000</xdr:colOff>
      <xdr:row>8</xdr:row>
      <xdr:rowOff>0</xdr:rowOff>
    </xdr:to>
    <xdr:cxnSp macro="">
      <xdr:nvCxnSpPr>
        <xdr:cNvPr id="20" name="Rett pil 34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flipH="1">
          <a:off x="3571875" y="1524000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180975</xdr:rowOff>
    </xdr:from>
    <xdr:to>
      <xdr:col>8</xdr:col>
      <xdr:colOff>360000</xdr:colOff>
      <xdr:row>14</xdr:row>
      <xdr:rowOff>180975</xdr:rowOff>
    </xdr:to>
    <xdr:cxnSp macro="">
      <xdr:nvCxnSpPr>
        <xdr:cNvPr id="21" name="Rett pil 35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flipH="1">
          <a:off x="3571875" y="2847975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360000</xdr:colOff>
      <xdr:row>7</xdr:row>
      <xdr:rowOff>0</xdr:rowOff>
    </xdr:to>
    <xdr:cxnSp macro="">
      <xdr:nvCxnSpPr>
        <xdr:cNvPr id="22" name="Rett pil 36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flipH="1">
          <a:off x="5133975" y="1333500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9525</xdr:colOff>
      <xdr:row>7</xdr:row>
      <xdr:rowOff>180975</xdr:rowOff>
    </xdr:to>
    <xdr:cxnSp macro="">
      <xdr:nvCxnSpPr>
        <xdr:cNvPr id="23" name="Rett linj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2476500" y="952500"/>
          <a:ext cx="9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15</xdr:row>
      <xdr:rowOff>0</xdr:rowOff>
    </xdr:from>
    <xdr:to>
      <xdr:col>6</xdr:col>
      <xdr:colOff>9525</xdr:colOff>
      <xdr:row>18</xdr:row>
      <xdr:rowOff>40500</xdr:rowOff>
    </xdr:to>
    <xdr:cxnSp macro="">
      <xdr:nvCxnSpPr>
        <xdr:cNvPr id="24" name="Rett linj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2466975" y="2857500"/>
          <a:ext cx="19050" cy="61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9525</xdr:colOff>
      <xdr:row>10</xdr:row>
      <xdr:rowOff>0</xdr:rowOff>
    </xdr:to>
    <xdr:cxnSp macro="">
      <xdr:nvCxnSpPr>
        <xdr:cNvPr id="25" name="Rett linj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3952875" y="1343025"/>
          <a:ext cx="9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15</xdr:row>
      <xdr:rowOff>0</xdr:rowOff>
    </xdr:from>
    <xdr:to>
      <xdr:col>9</xdr:col>
      <xdr:colOff>9525</xdr:colOff>
      <xdr:row>20</xdr:row>
      <xdr:rowOff>163500</xdr:rowOff>
    </xdr:to>
    <xdr:cxnSp macro="">
      <xdr:nvCxnSpPr>
        <xdr:cNvPr id="26" name="Rett linj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3962400" y="2857500"/>
          <a:ext cx="0" cy="11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9525</xdr:colOff>
      <xdr:row>7</xdr:row>
      <xdr:rowOff>180450</xdr:rowOff>
    </xdr:to>
    <xdr:cxnSp macro="">
      <xdr:nvCxnSpPr>
        <xdr:cNvPr id="27" name="Rett linj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514975" y="361950"/>
          <a:ext cx="9525" cy="115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tabSelected="1" workbookViewId="0"/>
  </sheetViews>
  <sheetFormatPr defaultColWidth="11.42578125" defaultRowHeight="15" x14ac:dyDescent="0.25"/>
  <cols>
    <col min="1" max="1" width="2.5703125" style="51" bestFit="1" customWidth="1"/>
    <col min="2" max="2" width="33.85546875" style="1" bestFit="1" customWidth="1"/>
    <col min="3" max="16384" width="11.42578125" style="1"/>
  </cols>
  <sheetData>
    <row r="1" spans="1:2" x14ac:dyDescent="0.25">
      <c r="A1" s="99" t="s">
        <v>140</v>
      </c>
      <c r="B1" s="100" t="s">
        <v>50</v>
      </c>
    </row>
    <row r="2" spans="1:2" x14ac:dyDescent="0.25">
      <c r="A2" s="99" t="s">
        <v>141</v>
      </c>
      <c r="B2" s="100" t="s">
        <v>137</v>
      </c>
    </row>
    <row r="3" spans="1:2" x14ac:dyDescent="0.25">
      <c r="A3" s="99" t="s">
        <v>142</v>
      </c>
      <c r="B3" s="100" t="s">
        <v>138</v>
      </c>
    </row>
    <row r="4" spans="1:2" x14ac:dyDescent="0.25">
      <c r="A4" s="99" t="s">
        <v>143</v>
      </c>
      <c r="B4" s="100" t="s">
        <v>139</v>
      </c>
    </row>
    <row r="5" spans="1:2" x14ac:dyDescent="0.25">
      <c r="A5" s="99" t="s">
        <v>144</v>
      </c>
      <c r="B5" s="100" t="s">
        <v>146</v>
      </c>
    </row>
    <row r="6" spans="1:2" x14ac:dyDescent="0.25">
      <c r="A6" s="99" t="s">
        <v>145</v>
      </c>
      <c r="B6" s="100" t="s">
        <v>40</v>
      </c>
    </row>
  </sheetData>
  <hyperlinks>
    <hyperlink ref="B1" location="Resultat!A1" display="Resultat" xr:uid="{00000000-0004-0000-0000-000000000000}"/>
    <hyperlink ref="B2" location="Balanse!A1" display="Balanse" xr:uid="{00000000-0004-0000-0000-000001000000}"/>
    <hyperlink ref="B3" location="'Kontantstrøm_Indirekte modell'!A1" display="Kontantstrøm etter indirekte modell" xr:uid="{00000000-0004-0000-0000-000002000000}"/>
    <hyperlink ref="B4" location="Nøkkeltall!A1" display="Nøkkeltallsberegninger" xr:uid="{00000000-0004-0000-0000-000003000000}"/>
    <hyperlink ref="B6" location="DuPont!A1" display="DuPont-modellen" xr:uid="{00000000-0004-0000-0000-000004000000}"/>
    <hyperlink ref="B5" location="'Vertikal analyse'!A1" display="Vertikal analyse" xr:uid="{1D68DC27-CC58-49A1-8F36-006BB6CEAFF4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workbookViewId="0"/>
  </sheetViews>
  <sheetFormatPr defaultColWidth="9.140625" defaultRowHeight="15" x14ac:dyDescent="0.25"/>
  <cols>
    <col min="1" max="1" width="25" style="10" bestFit="1" customWidth="1"/>
    <col min="2" max="3" width="10.28515625" style="10" bestFit="1" customWidth="1"/>
    <col min="4" max="16384" width="9.140625" style="10"/>
  </cols>
  <sheetData>
    <row r="1" spans="1:5" x14ac:dyDescent="0.25">
      <c r="A1" s="8" t="s">
        <v>0</v>
      </c>
      <c r="B1" s="9" t="s">
        <v>127</v>
      </c>
      <c r="C1" s="23" t="s">
        <v>128</v>
      </c>
    </row>
    <row r="2" spans="1:5" x14ac:dyDescent="0.25">
      <c r="A2" s="11" t="s">
        <v>33</v>
      </c>
      <c r="B2" s="12">
        <v>25810</v>
      </c>
      <c r="C2" s="24">
        <v>22157</v>
      </c>
      <c r="E2" s="98" t="s">
        <v>131</v>
      </c>
    </row>
    <row r="3" spans="1:5" x14ac:dyDescent="0.25">
      <c r="A3" s="11" t="s">
        <v>1</v>
      </c>
      <c r="B3" s="12">
        <v>784</v>
      </c>
      <c r="C3" s="24">
        <v>576</v>
      </c>
    </row>
    <row r="4" spans="1:5" x14ac:dyDescent="0.25">
      <c r="A4" s="13" t="s">
        <v>2</v>
      </c>
      <c r="B4" s="14">
        <f>+B2+B3</f>
        <v>26594</v>
      </c>
      <c r="C4" s="25">
        <f>+C2+C3</f>
        <v>22733</v>
      </c>
    </row>
    <row r="5" spans="1:5" x14ac:dyDescent="0.25">
      <c r="A5" s="11" t="s">
        <v>3</v>
      </c>
      <c r="B5" s="12">
        <v>13349</v>
      </c>
      <c r="C5" s="24">
        <v>12324</v>
      </c>
    </row>
    <row r="6" spans="1:5" x14ac:dyDescent="0.25">
      <c r="A6" s="11" t="s">
        <v>4</v>
      </c>
      <c r="B6" s="12">
        <v>6314</v>
      </c>
      <c r="C6" s="24">
        <v>4948</v>
      </c>
    </row>
    <row r="7" spans="1:5" x14ac:dyDescent="0.25">
      <c r="A7" s="11" t="s">
        <v>5</v>
      </c>
      <c r="B7" s="12">
        <v>315</v>
      </c>
      <c r="C7" s="24">
        <v>427</v>
      </c>
    </row>
    <row r="8" spans="1:5" x14ac:dyDescent="0.25">
      <c r="A8" s="11" t="s">
        <v>6</v>
      </c>
      <c r="B8" s="12">
        <f>4273-175+46</f>
        <v>4144</v>
      </c>
      <c r="C8" s="24">
        <v>3340</v>
      </c>
    </row>
    <row r="9" spans="1:5" x14ac:dyDescent="0.25">
      <c r="A9" s="13" t="s">
        <v>8</v>
      </c>
      <c r="B9" s="14">
        <f>SUM(B5:B8)</f>
        <v>24122</v>
      </c>
      <c r="C9" s="25">
        <f>SUM(C5:C8)</f>
        <v>21039</v>
      </c>
    </row>
    <row r="10" spans="1:5" x14ac:dyDescent="0.25">
      <c r="A10" s="13" t="s">
        <v>7</v>
      </c>
      <c r="B10" s="14">
        <f>+B4-B9</f>
        <v>2472</v>
      </c>
      <c r="C10" s="25">
        <f>+C4-C9</f>
        <v>1694</v>
      </c>
    </row>
    <row r="11" spans="1:5" x14ac:dyDescent="0.25">
      <c r="A11" s="15" t="s">
        <v>113</v>
      </c>
      <c r="B11" s="16">
        <v>1637</v>
      </c>
      <c r="C11" s="26">
        <v>2575</v>
      </c>
    </row>
    <row r="12" spans="1:5" x14ac:dyDescent="0.25">
      <c r="A12" s="15" t="s">
        <v>114</v>
      </c>
      <c r="B12" s="16">
        <v>200</v>
      </c>
      <c r="C12" s="26">
        <v>6</v>
      </c>
    </row>
    <row r="13" spans="1:5" x14ac:dyDescent="0.25">
      <c r="A13" s="17" t="s">
        <v>39</v>
      </c>
      <c r="B13" s="18">
        <f>+B10+B11-B12</f>
        <v>3909</v>
      </c>
      <c r="C13" s="27">
        <f>+C10+C11-C12</f>
        <v>4263</v>
      </c>
    </row>
    <row r="14" spans="1:5" x14ac:dyDescent="0.25">
      <c r="A14" s="15" t="s">
        <v>10</v>
      </c>
      <c r="B14" s="16">
        <v>701</v>
      </c>
      <c r="C14" s="26">
        <v>521</v>
      </c>
    </row>
    <row r="15" spans="1:5" ht="15.75" thickBot="1" x14ac:dyDescent="0.3">
      <c r="A15" s="19" t="s">
        <v>11</v>
      </c>
      <c r="B15" s="21">
        <f>+B13-B14</f>
        <v>3208</v>
      </c>
      <c r="C15" s="28">
        <f>+C13-C14</f>
        <v>3742</v>
      </c>
    </row>
    <row r="16" spans="1:5" x14ac:dyDescent="0.25">
      <c r="B16" s="1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showGridLines="0" workbookViewId="0"/>
  </sheetViews>
  <sheetFormatPr defaultColWidth="9.140625" defaultRowHeight="15" x14ac:dyDescent="0.25"/>
  <cols>
    <col min="1" max="1" width="36" style="61" bestFit="1" customWidth="1"/>
    <col min="2" max="3" width="10.28515625" style="61" bestFit="1" customWidth="1"/>
    <col min="4" max="16384" width="9.140625" style="61"/>
  </cols>
  <sheetData>
    <row r="1" spans="1:5" x14ac:dyDescent="0.25">
      <c r="A1" s="2" t="s">
        <v>12</v>
      </c>
      <c r="B1" s="3" t="s">
        <v>127</v>
      </c>
      <c r="C1" s="4" t="s">
        <v>128</v>
      </c>
    </row>
    <row r="2" spans="1:5" x14ac:dyDescent="0.25">
      <c r="A2" s="5" t="s">
        <v>35</v>
      </c>
      <c r="B2" s="46"/>
      <c r="C2" s="47"/>
      <c r="E2" s="97" t="s">
        <v>132</v>
      </c>
    </row>
    <row r="3" spans="1:5" x14ac:dyDescent="0.25">
      <c r="A3" s="5" t="s">
        <v>26</v>
      </c>
      <c r="B3" s="114">
        <v>5075</v>
      </c>
      <c r="C3" s="115">
        <v>5075</v>
      </c>
    </row>
    <row r="4" spans="1:5" x14ac:dyDescent="0.25">
      <c r="A4" s="5" t="s">
        <v>25</v>
      </c>
      <c r="B4" s="116">
        <f>433+178</f>
        <v>611</v>
      </c>
      <c r="C4" s="117">
        <f>335+178</f>
        <v>513</v>
      </c>
      <c r="E4" s="63"/>
    </row>
    <row r="5" spans="1:5" x14ac:dyDescent="0.25">
      <c r="A5" s="6" t="s">
        <v>13</v>
      </c>
      <c r="B5" s="118">
        <f>SUM(B2:B4)</f>
        <v>5686</v>
      </c>
      <c r="C5" s="119">
        <f>SUM(C2:C4)</f>
        <v>5588</v>
      </c>
      <c r="E5" s="63"/>
    </row>
    <row r="6" spans="1:5" x14ac:dyDescent="0.25">
      <c r="A6" s="5" t="s">
        <v>27</v>
      </c>
      <c r="B6" s="114">
        <v>6176</v>
      </c>
      <c r="C6" s="115">
        <v>4329</v>
      </c>
    </row>
    <row r="7" spans="1:5" x14ac:dyDescent="0.25">
      <c r="A7" s="5" t="s">
        <v>14</v>
      </c>
      <c r="B7" s="114">
        <v>67</v>
      </c>
      <c r="C7" s="115">
        <v>709</v>
      </c>
    </row>
    <row r="8" spans="1:5" x14ac:dyDescent="0.25">
      <c r="A8" s="5" t="s">
        <v>28</v>
      </c>
      <c r="B8" s="114">
        <v>2620</v>
      </c>
      <c r="C8" s="115">
        <v>2990</v>
      </c>
    </row>
    <row r="9" spans="1:5" x14ac:dyDescent="0.25">
      <c r="A9" s="5" t="s">
        <v>29</v>
      </c>
      <c r="B9" s="114">
        <v>4250</v>
      </c>
      <c r="C9" s="115">
        <v>8675</v>
      </c>
    </row>
    <row r="10" spans="1:5" x14ac:dyDescent="0.25">
      <c r="A10" s="6" t="s">
        <v>15</v>
      </c>
      <c r="B10" s="118">
        <f>SUM(B6:B9)</f>
        <v>13113</v>
      </c>
      <c r="C10" s="119">
        <f>SUM(C6:C9)</f>
        <v>16703</v>
      </c>
    </row>
    <row r="11" spans="1:5" ht="15.75" thickBot="1" x14ac:dyDescent="0.3">
      <c r="A11" s="7" t="s">
        <v>16</v>
      </c>
      <c r="B11" s="120">
        <f>+B5+B10</f>
        <v>18799</v>
      </c>
      <c r="C11" s="121">
        <f>+C5+C10</f>
        <v>22291</v>
      </c>
    </row>
    <row r="12" spans="1:5" s="62" customFormat="1" ht="6.75" customHeight="1" thickBot="1" x14ac:dyDescent="0.3">
      <c r="A12" s="59"/>
      <c r="B12" s="122"/>
      <c r="C12" s="122"/>
    </row>
    <row r="13" spans="1:5" x14ac:dyDescent="0.25">
      <c r="A13" s="60" t="s">
        <v>17</v>
      </c>
      <c r="B13" s="123">
        <f>6075-3600</f>
        <v>2475</v>
      </c>
      <c r="C13" s="124">
        <f>6750-4500</f>
        <v>2250</v>
      </c>
    </row>
    <row r="14" spans="1:5" x14ac:dyDescent="0.25">
      <c r="A14" s="5" t="s">
        <v>18</v>
      </c>
      <c r="B14" s="114">
        <v>6159</v>
      </c>
      <c r="C14" s="115">
        <v>5629</v>
      </c>
      <c r="D14" s="63"/>
    </row>
    <row r="15" spans="1:5" x14ac:dyDescent="0.25">
      <c r="A15" s="6" t="s">
        <v>19</v>
      </c>
      <c r="B15" s="118">
        <f>SUM(B13:B14)</f>
        <v>8634</v>
      </c>
      <c r="C15" s="119">
        <f>SUM(C13:C14)</f>
        <v>7879</v>
      </c>
    </row>
    <row r="16" spans="1:5" x14ac:dyDescent="0.25">
      <c r="A16" s="6" t="s">
        <v>30</v>
      </c>
      <c r="B16" s="118">
        <v>4000</v>
      </c>
      <c r="C16" s="119">
        <v>5000</v>
      </c>
    </row>
    <row r="17" spans="1:4" x14ac:dyDescent="0.25">
      <c r="A17" s="5" t="s">
        <v>20</v>
      </c>
      <c r="B17" s="114">
        <v>2466</v>
      </c>
      <c r="C17" s="115">
        <v>1495</v>
      </c>
    </row>
    <row r="18" spans="1:4" x14ac:dyDescent="0.25">
      <c r="A18" s="5" t="s">
        <v>21</v>
      </c>
      <c r="B18" s="114">
        <v>1169</v>
      </c>
      <c r="C18" s="115">
        <v>887</v>
      </c>
    </row>
    <row r="19" spans="1:4" x14ac:dyDescent="0.25">
      <c r="A19" s="5" t="s">
        <v>22</v>
      </c>
      <c r="B19" s="114">
        <v>1000</v>
      </c>
      <c r="C19" s="115">
        <v>6000</v>
      </c>
    </row>
    <row r="20" spans="1:4" x14ac:dyDescent="0.25">
      <c r="A20" s="5" t="s">
        <v>34</v>
      </c>
      <c r="B20" s="114">
        <v>701</v>
      </c>
      <c r="C20" s="115">
        <v>545</v>
      </c>
    </row>
    <row r="21" spans="1:4" x14ac:dyDescent="0.25">
      <c r="A21" s="5" t="s">
        <v>31</v>
      </c>
      <c r="B21" s="114">
        <v>829</v>
      </c>
      <c r="C21" s="115">
        <v>485</v>
      </c>
    </row>
    <row r="22" spans="1:4" x14ac:dyDescent="0.25">
      <c r="A22" s="6" t="s">
        <v>23</v>
      </c>
      <c r="B22" s="118">
        <f>SUM(B17:B21)</f>
        <v>6165</v>
      </c>
      <c r="C22" s="119">
        <f>SUM(C17:C21)</f>
        <v>9412</v>
      </c>
    </row>
    <row r="23" spans="1:4" x14ac:dyDescent="0.25">
      <c r="A23" s="6" t="s">
        <v>24</v>
      </c>
      <c r="B23" s="118">
        <f>+B16+B22</f>
        <v>10165</v>
      </c>
      <c r="C23" s="119">
        <f>+C16+C22</f>
        <v>14412</v>
      </c>
    </row>
    <row r="24" spans="1:4" ht="15.75" thickBot="1" x14ac:dyDescent="0.3">
      <c r="A24" s="7" t="s">
        <v>32</v>
      </c>
      <c r="B24" s="120">
        <f>+B15+B23</f>
        <v>18799</v>
      </c>
      <c r="C24" s="121">
        <f>+C15+C23</f>
        <v>22291</v>
      </c>
    </row>
    <row r="25" spans="1:4" x14ac:dyDescent="0.25">
      <c r="A25" s="64"/>
      <c r="B25" s="65"/>
      <c r="C25" s="65"/>
    </row>
    <row r="26" spans="1:4" x14ac:dyDescent="0.25">
      <c r="A26" s="66" t="s">
        <v>117</v>
      </c>
      <c r="B26" s="69" t="str">
        <f>IF((B11-B24)=0,"Ok!","Sjekk balansen!")</f>
        <v>Ok!</v>
      </c>
      <c r="C26" s="69" t="str">
        <f>IF((C11-C24)=0,"Ok!","Sjekk balansen!")</f>
        <v>Ok!</v>
      </c>
      <c r="D26" s="1" t="s">
        <v>125</v>
      </c>
    </row>
    <row r="27" spans="1:4" x14ac:dyDescent="0.25">
      <c r="A27" s="64"/>
      <c r="B27" s="67"/>
      <c r="C27" s="68"/>
    </row>
    <row r="28" spans="1:4" x14ac:dyDescent="0.25">
      <c r="A28" s="64"/>
      <c r="B28" s="67"/>
      <c r="C28" s="68"/>
    </row>
    <row r="29" spans="1:4" x14ac:dyDescent="0.25">
      <c r="A29" s="64"/>
      <c r="B29" s="67"/>
      <c r="C29" s="68"/>
    </row>
    <row r="30" spans="1:4" x14ac:dyDescent="0.25">
      <c r="A30" s="64"/>
      <c r="B30" s="67"/>
      <c r="C30" s="6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showGridLines="0" zoomScaleNormal="100" workbookViewId="0"/>
  </sheetViews>
  <sheetFormatPr defaultColWidth="9.140625" defaultRowHeight="15" x14ac:dyDescent="0.25"/>
  <cols>
    <col min="1" max="2" width="1.7109375" style="1" customWidth="1"/>
    <col min="3" max="3" width="3.5703125" style="1" bestFit="1" customWidth="1"/>
    <col min="4" max="4" width="48.7109375" style="1" bestFit="1" customWidth="1"/>
    <col min="5" max="5" width="9.85546875" style="1" bestFit="1" customWidth="1"/>
    <col min="6" max="6" width="9.140625" style="1"/>
    <col min="7" max="7" width="9.42578125" style="1" bestFit="1" customWidth="1"/>
    <col min="8" max="16384" width="9.140625" style="1"/>
  </cols>
  <sheetData>
    <row r="1" spans="1:7" x14ac:dyDescent="0.25">
      <c r="A1" s="20" t="s">
        <v>82</v>
      </c>
      <c r="B1" s="20"/>
    </row>
    <row r="2" spans="1:7" x14ac:dyDescent="0.25">
      <c r="B2" s="52" t="s">
        <v>83</v>
      </c>
      <c r="G2" s="52" t="s">
        <v>133</v>
      </c>
    </row>
    <row r="3" spans="1:7" x14ac:dyDescent="0.25">
      <c r="C3" s="51"/>
      <c r="D3" s="1" t="s">
        <v>84</v>
      </c>
      <c r="E3" s="125">
        <f>Resultat!B13</f>
        <v>3909</v>
      </c>
      <c r="G3" s="52" t="s">
        <v>134</v>
      </c>
    </row>
    <row r="4" spans="1:7" x14ac:dyDescent="0.25">
      <c r="C4" s="53" t="s">
        <v>53</v>
      </c>
      <c r="D4" s="1" t="s">
        <v>85</v>
      </c>
      <c r="E4" s="125">
        <f>Balanse!C20*-1</f>
        <v>-545</v>
      </c>
    </row>
    <row r="5" spans="1:7" x14ac:dyDescent="0.25">
      <c r="C5" s="53" t="s">
        <v>86</v>
      </c>
      <c r="D5" s="1" t="s">
        <v>87</v>
      </c>
      <c r="E5" s="125">
        <v>0</v>
      </c>
    </row>
    <row r="6" spans="1:7" x14ac:dyDescent="0.25">
      <c r="C6" s="53" t="s">
        <v>41</v>
      </c>
      <c r="D6" s="1" t="s">
        <v>5</v>
      </c>
      <c r="E6" s="125">
        <f>Resultat!B7</f>
        <v>315</v>
      </c>
    </row>
    <row r="7" spans="1:7" x14ac:dyDescent="0.25">
      <c r="C7" s="53" t="s">
        <v>41</v>
      </c>
      <c r="D7" s="1" t="s">
        <v>88</v>
      </c>
      <c r="E7" s="125">
        <v>0</v>
      </c>
    </row>
    <row r="8" spans="1:7" x14ac:dyDescent="0.25">
      <c r="C8" s="53" t="s">
        <v>86</v>
      </c>
      <c r="D8" s="1" t="s">
        <v>89</v>
      </c>
      <c r="E8" s="125">
        <f>Balanse!C6-Balanse!B6</f>
        <v>-1847</v>
      </c>
    </row>
    <row r="9" spans="1:7" x14ac:dyDescent="0.25">
      <c r="C9" s="53" t="s">
        <v>86</v>
      </c>
      <c r="D9" s="1" t="s">
        <v>90</v>
      </c>
      <c r="E9" s="125">
        <f>Balanse!C7-Balanse!B7</f>
        <v>642</v>
      </c>
    </row>
    <row r="10" spans="1:7" x14ac:dyDescent="0.25">
      <c r="C10" s="53" t="s">
        <v>86</v>
      </c>
      <c r="D10" s="1" t="s">
        <v>91</v>
      </c>
      <c r="E10" s="125">
        <f>Balanse!B17-Balanse!C17</f>
        <v>971</v>
      </c>
    </row>
    <row r="11" spans="1:7" x14ac:dyDescent="0.25">
      <c r="A11" s="54"/>
      <c r="B11" s="54"/>
      <c r="C11" s="55" t="s">
        <v>86</v>
      </c>
      <c r="D11" s="54" t="s">
        <v>92</v>
      </c>
      <c r="E11" s="126">
        <f>(Balanse!C8-Balanse!B8)+(Balanse!B18-Balanse!C18+Balanse!B21-Balanse!C21)</f>
        <v>996</v>
      </c>
    </row>
    <row r="12" spans="1:7" x14ac:dyDescent="0.25">
      <c r="C12" s="56" t="s">
        <v>93</v>
      </c>
      <c r="D12" s="57" t="s">
        <v>94</v>
      </c>
      <c r="E12" s="125">
        <f>SUM(E3:E11)</f>
        <v>4441</v>
      </c>
    </row>
    <row r="13" spans="1:7" ht="7.5" customHeight="1" x14ac:dyDescent="0.25">
      <c r="C13" s="51"/>
      <c r="E13" s="125"/>
    </row>
    <row r="14" spans="1:7" x14ac:dyDescent="0.25">
      <c r="B14" s="52" t="s">
        <v>95</v>
      </c>
      <c r="C14" s="51"/>
      <c r="E14" s="125"/>
    </row>
    <row r="15" spans="1:7" x14ac:dyDescent="0.25">
      <c r="C15" s="53" t="s">
        <v>41</v>
      </c>
      <c r="D15" s="1" t="s">
        <v>96</v>
      </c>
      <c r="E15" s="125">
        <v>0</v>
      </c>
    </row>
    <row r="16" spans="1:7" x14ac:dyDescent="0.25">
      <c r="C16" s="53" t="s">
        <v>53</v>
      </c>
      <c r="D16" s="1" t="s">
        <v>97</v>
      </c>
      <c r="E16" s="125">
        <f>Balanse!C4-Balanse!B4-E6</f>
        <v>-413</v>
      </c>
    </row>
    <row r="17" spans="1:7" x14ac:dyDescent="0.25">
      <c r="A17" s="54"/>
      <c r="B17" s="54"/>
      <c r="C17" s="55" t="s">
        <v>86</v>
      </c>
      <c r="D17" s="54" t="s">
        <v>98</v>
      </c>
      <c r="E17" s="126">
        <v>0</v>
      </c>
    </row>
    <row r="18" spans="1:7" x14ac:dyDescent="0.25">
      <c r="C18" s="56" t="s">
        <v>93</v>
      </c>
      <c r="D18" s="57" t="s">
        <v>99</v>
      </c>
      <c r="E18" s="125">
        <f>SUM(E15:E17)</f>
        <v>-413</v>
      </c>
    </row>
    <row r="19" spans="1:7" ht="7.5" customHeight="1" x14ac:dyDescent="0.25">
      <c r="C19" s="51"/>
      <c r="E19" s="125"/>
    </row>
    <row r="20" spans="1:7" x14ac:dyDescent="0.25">
      <c r="B20" s="52" t="s">
        <v>100</v>
      </c>
      <c r="C20" s="51"/>
      <c r="E20" s="125"/>
    </row>
    <row r="21" spans="1:7" x14ac:dyDescent="0.25">
      <c r="C21" s="53" t="s">
        <v>41</v>
      </c>
      <c r="D21" s="1" t="s">
        <v>101</v>
      </c>
      <c r="E21" s="125">
        <v>0</v>
      </c>
    </row>
    <row r="22" spans="1:7" x14ac:dyDescent="0.25">
      <c r="C22" s="53" t="s">
        <v>41</v>
      </c>
      <c r="D22" s="1" t="s">
        <v>102</v>
      </c>
      <c r="E22" s="125">
        <v>0</v>
      </c>
    </row>
    <row r="23" spans="1:7" x14ac:dyDescent="0.25">
      <c r="C23" s="53" t="s">
        <v>53</v>
      </c>
      <c r="D23" s="1" t="s">
        <v>103</v>
      </c>
      <c r="E23" s="125">
        <f>Balanse!B16-Balanse!C16</f>
        <v>-1000</v>
      </c>
    </row>
    <row r="24" spans="1:7" x14ac:dyDescent="0.25">
      <c r="C24" s="53" t="s">
        <v>53</v>
      </c>
      <c r="D24" s="1" t="s">
        <v>104</v>
      </c>
      <c r="E24" s="125">
        <v>0</v>
      </c>
    </row>
    <row r="25" spans="1:7" x14ac:dyDescent="0.25">
      <c r="C25" s="53" t="s">
        <v>86</v>
      </c>
      <c r="D25" s="1" t="s">
        <v>105</v>
      </c>
      <c r="E25" s="125">
        <v>0</v>
      </c>
    </row>
    <row r="26" spans="1:7" x14ac:dyDescent="0.25">
      <c r="C26" s="53" t="s">
        <v>41</v>
      </c>
      <c r="D26" s="1" t="s">
        <v>106</v>
      </c>
      <c r="E26" s="125">
        <v>0</v>
      </c>
    </row>
    <row r="27" spans="1:7" x14ac:dyDescent="0.25">
      <c r="C27" s="53" t="s">
        <v>53</v>
      </c>
      <c r="D27" s="1" t="s">
        <v>107</v>
      </c>
      <c r="E27" s="125">
        <f>(Balanse!B13-Balanse!C13)+(Balanse!B14-Balanse!C14-Resultat!B15+Balanse!B19)</f>
        <v>-1453</v>
      </c>
      <c r="G27" s="48"/>
    </row>
    <row r="28" spans="1:7" x14ac:dyDescent="0.25">
      <c r="A28" s="54"/>
      <c r="B28" s="54"/>
      <c r="C28" s="55" t="s">
        <v>53</v>
      </c>
      <c r="D28" s="54" t="s">
        <v>108</v>
      </c>
      <c r="E28" s="126">
        <f>Balanse!C19*-1</f>
        <v>-6000</v>
      </c>
    </row>
    <row r="29" spans="1:7" x14ac:dyDescent="0.25">
      <c r="C29" s="56" t="s">
        <v>93</v>
      </c>
      <c r="D29" s="57" t="s">
        <v>109</v>
      </c>
      <c r="E29" s="125">
        <f>SUM(E21:E28)</f>
        <v>-8453</v>
      </c>
      <c r="G29" s="48"/>
    </row>
    <row r="30" spans="1:7" ht="7.5" customHeight="1" x14ac:dyDescent="0.25">
      <c r="C30" s="51"/>
      <c r="E30" s="125"/>
    </row>
    <row r="31" spans="1:7" x14ac:dyDescent="0.25">
      <c r="B31" s="52" t="s">
        <v>110</v>
      </c>
      <c r="C31" s="51"/>
      <c r="E31" s="125">
        <f>+E12+E18+E29</f>
        <v>-4425</v>
      </c>
    </row>
    <row r="32" spans="1:7" x14ac:dyDescent="0.25">
      <c r="B32" s="52" t="s">
        <v>111</v>
      </c>
      <c r="C32" s="51"/>
      <c r="E32" s="125">
        <f>Balanse!C9</f>
        <v>8675</v>
      </c>
    </row>
    <row r="33" spans="2:6" x14ac:dyDescent="0.25">
      <c r="B33" s="58" t="s">
        <v>112</v>
      </c>
      <c r="C33" s="51"/>
      <c r="E33" s="125">
        <f>IF((E31+E32)=Balanse!B9,E31+E32,"Sjekk!")</f>
        <v>4250</v>
      </c>
      <c r="F33" s="1" t="s">
        <v>125</v>
      </c>
    </row>
    <row r="34" spans="2:6" x14ac:dyDescent="0.25">
      <c r="C34" s="51"/>
    </row>
    <row r="35" spans="2:6" x14ac:dyDescent="0.25">
      <c r="C35" s="51"/>
      <c r="E35" s="72"/>
    </row>
    <row r="36" spans="2:6" x14ac:dyDescent="0.25">
      <c r="C36" s="51"/>
    </row>
    <row r="37" spans="2:6" x14ac:dyDescent="0.25">
      <c r="C37" s="51"/>
    </row>
    <row r="38" spans="2:6" x14ac:dyDescent="0.25">
      <c r="C38" s="51"/>
    </row>
    <row r="39" spans="2:6" x14ac:dyDescent="0.25">
      <c r="C39" s="51"/>
    </row>
    <row r="40" spans="2:6" x14ac:dyDescent="0.25">
      <c r="C40" s="51"/>
    </row>
  </sheetData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7"/>
  <sheetViews>
    <sheetView showGridLines="0" workbookViewId="0"/>
  </sheetViews>
  <sheetFormatPr defaultColWidth="11.42578125" defaultRowHeight="15" x14ac:dyDescent="0.25"/>
  <cols>
    <col min="1" max="1" width="31.140625" style="1" bestFit="1" customWidth="1"/>
    <col min="2" max="2" width="13" style="1" bestFit="1" customWidth="1"/>
    <col min="3" max="3" width="11.42578125" style="1"/>
    <col min="4" max="4" width="7.7109375" style="1" bestFit="1" customWidth="1"/>
    <col min="5" max="5" width="92.140625" style="1" bestFit="1" customWidth="1"/>
    <col min="6" max="16384" width="11.42578125" style="1"/>
  </cols>
  <sheetData>
    <row r="1" spans="1:5" x14ac:dyDescent="0.25">
      <c r="A1" s="75" t="s">
        <v>36</v>
      </c>
      <c r="B1" s="22" t="s">
        <v>127</v>
      </c>
      <c r="C1" s="76" t="s">
        <v>128</v>
      </c>
    </row>
    <row r="2" spans="1:5" x14ac:dyDescent="0.25">
      <c r="A2" s="77" t="s">
        <v>81</v>
      </c>
      <c r="B2" s="74">
        <f>(Resultat!B2-Resultat!B5)/Resultat!B2</f>
        <v>0.4827973653622627</v>
      </c>
      <c r="C2" s="78"/>
      <c r="E2" s="52" t="s">
        <v>136</v>
      </c>
    </row>
    <row r="3" spans="1:5" x14ac:dyDescent="0.25">
      <c r="A3" s="77" t="s">
        <v>80</v>
      </c>
      <c r="B3" s="74">
        <f>(Resultat!B10+Resultat!B7)/Resultat!B4</f>
        <v>0.10479807475370384</v>
      </c>
      <c r="C3" s="78"/>
    </row>
    <row r="4" spans="1:5" x14ac:dyDescent="0.25">
      <c r="A4" s="77" t="s">
        <v>79</v>
      </c>
      <c r="B4" s="74">
        <f>Resultat!B10/Resultat!B4</f>
        <v>9.29532977363315E-2</v>
      </c>
      <c r="C4" s="78"/>
    </row>
    <row r="5" spans="1:5" x14ac:dyDescent="0.25">
      <c r="A5" s="77" t="s">
        <v>78</v>
      </c>
      <c r="B5" s="74">
        <f>Resultat!B13/Resultat!B4</f>
        <v>0.14698804241558247</v>
      </c>
      <c r="C5" s="78"/>
    </row>
    <row r="6" spans="1:5" x14ac:dyDescent="0.25">
      <c r="A6" s="77" t="s">
        <v>77</v>
      </c>
      <c r="B6" s="74">
        <f>(Resultat!B13+Resultat!B12)/((Balanse!B11+Balanse!C11)/2)</f>
        <v>0.2</v>
      </c>
      <c r="C6" s="78"/>
    </row>
    <row r="7" spans="1:5" x14ac:dyDescent="0.25">
      <c r="A7" s="77" t="s">
        <v>115</v>
      </c>
      <c r="B7" s="74">
        <f>Resultat!B13/((Balanse!$B$15+Balanse!$C$15)/2)</f>
        <v>0.47344516441591472</v>
      </c>
      <c r="C7" s="78"/>
    </row>
    <row r="8" spans="1:5" ht="15.75" thickBot="1" x14ac:dyDescent="0.3">
      <c r="A8" s="79" t="s">
        <v>116</v>
      </c>
      <c r="B8" s="80">
        <f>Resultat!B15/((Balanse!$B$15+Balanse!$C$15)/2)</f>
        <v>0.38854236056440378</v>
      </c>
      <c r="C8" s="81"/>
    </row>
    <row r="9" spans="1:5" ht="6.75" customHeight="1" thickBot="1" x14ac:dyDescent="0.3">
      <c r="B9" s="49"/>
    </row>
    <row r="10" spans="1:5" x14ac:dyDescent="0.25">
      <c r="A10" s="75" t="s">
        <v>37</v>
      </c>
      <c r="B10" s="84"/>
      <c r="C10" s="85"/>
    </row>
    <row r="11" spans="1:5" x14ac:dyDescent="0.25">
      <c r="A11" s="77" t="s">
        <v>76</v>
      </c>
      <c r="B11" s="82">
        <f>Balanse!B10-Balanse!B22</f>
        <v>6948</v>
      </c>
      <c r="C11" s="86">
        <f>Balanse!C10-Balanse!C22</f>
        <v>7291</v>
      </c>
    </row>
    <row r="12" spans="1:5" x14ac:dyDescent="0.25">
      <c r="A12" s="77" t="s">
        <v>75</v>
      </c>
      <c r="B12" s="74">
        <f>B11/Resultat!B4</f>
        <v>0.26126193878318416</v>
      </c>
      <c r="C12" s="78"/>
    </row>
    <row r="13" spans="1:5" x14ac:dyDescent="0.25">
      <c r="A13" s="77" t="s">
        <v>74</v>
      </c>
      <c r="B13" s="83">
        <f>Balanse!B10/Balanse!B22</f>
        <v>2.127007299270073</v>
      </c>
      <c r="C13" s="87">
        <f>Balanse!C10/Balanse!C22</f>
        <v>1.7746493837654058</v>
      </c>
    </row>
    <row r="14" spans="1:5" x14ac:dyDescent="0.25">
      <c r="A14" s="77" t="s">
        <v>73</v>
      </c>
      <c r="B14" s="83">
        <f>(Balanse!B10-Balanse!B6)/Balanse!B22</f>
        <v>1.1252230332522304</v>
      </c>
      <c r="C14" s="87">
        <f>(Balanse!C10-Balanse!C6)/Balanse!C22</f>
        <v>1.3147046323841904</v>
      </c>
    </row>
    <row r="15" spans="1:5" ht="15.75" thickBot="1" x14ac:dyDescent="0.3">
      <c r="A15" s="79" t="s">
        <v>72</v>
      </c>
      <c r="B15" s="88">
        <f>Balanse!B9*$D$15/Balanse!B22</f>
        <v>0.68937550689375504</v>
      </c>
      <c r="C15" s="89">
        <f>Balanse!C9*$D$15/Balanse!C22</f>
        <v>0.92169570760730979</v>
      </c>
      <c r="D15" s="70">
        <v>1</v>
      </c>
      <c r="E15" s="1" t="s">
        <v>119</v>
      </c>
    </row>
    <row r="16" spans="1:5" ht="6.75" customHeight="1" thickBot="1" x14ac:dyDescent="0.3">
      <c r="B16" s="49"/>
    </row>
    <row r="17" spans="1:5" x14ac:dyDescent="0.25">
      <c r="A17" s="75" t="s">
        <v>38</v>
      </c>
      <c r="B17" s="84"/>
      <c r="C17" s="85"/>
    </row>
    <row r="18" spans="1:5" x14ac:dyDescent="0.25">
      <c r="A18" s="77" t="s">
        <v>71</v>
      </c>
      <c r="B18" s="90">
        <f>Balanse!B15/Balanse!B24</f>
        <v>0.45927974892281503</v>
      </c>
      <c r="C18" s="92">
        <f>Balanse!C15/Balanse!C24</f>
        <v>0.35346103808712037</v>
      </c>
    </row>
    <row r="19" spans="1:5" x14ac:dyDescent="0.25">
      <c r="A19" s="77" t="s">
        <v>70</v>
      </c>
      <c r="B19" s="83">
        <f>Balanse!B23/Balanse!B15</f>
        <v>1.1773222145008106</v>
      </c>
      <c r="C19" s="87">
        <f>Balanse!C23/Balanse!C15</f>
        <v>1.8291661378347506</v>
      </c>
      <c r="E19" s="48"/>
    </row>
    <row r="20" spans="1:5" x14ac:dyDescent="0.25">
      <c r="A20" s="77" t="s">
        <v>120</v>
      </c>
      <c r="B20" s="91">
        <f>((Balanse!B23+Balanse!C23)/2)/((Balanse!B15+Balanse!C15)/2)</f>
        <v>1.4883425180161085</v>
      </c>
      <c r="C20" s="87"/>
      <c r="E20" s="48"/>
    </row>
    <row r="21" spans="1:5" x14ac:dyDescent="0.25">
      <c r="A21" s="77" t="s">
        <v>69</v>
      </c>
      <c r="B21" s="82">
        <f>Balanse!B15+Balanse!B16</f>
        <v>12634</v>
      </c>
      <c r="C21" s="86">
        <f>Balanse!C15+Balanse!C16</f>
        <v>12879</v>
      </c>
    </row>
    <row r="22" spans="1:5" x14ac:dyDescent="0.25">
      <c r="A22" s="77" t="s">
        <v>68</v>
      </c>
      <c r="B22" s="74">
        <f>Balanse!B5/B21</f>
        <v>0.45005540604717431</v>
      </c>
      <c r="C22" s="93">
        <f>Balanse!C5/C21</f>
        <v>0.43388461837099151</v>
      </c>
    </row>
    <row r="23" spans="1:5" x14ac:dyDescent="0.25">
      <c r="A23" s="77" t="s">
        <v>67</v>
      </c>
      <c r="B23" s="82">
        <f>(Resultat!B13+Resultat!B12)/Resultat!B12</f>
        <v>20.545000000000002</v>
      </c>
      <c r="C23" s="86"/>
      <c r="E23" s="1" t="s">
        <v>118</v>
      </c>
    </row>
    <row r="24" spans="1:5" ht="15.75" thickBot="1" x14ac:dyDescent="0.3">
      <c r="A24" s="79" t="s">
        <v>66</v>
      </c>
      <c r="B24" s="94">
        <f>B6+(B6-D24)*B20</f>
        <v>0.47340852055955912</v>
      </c>
      <c r="C24" s="81"/>
      <c r="D24" s="73">
        <v>1.6299999999999999E-2</v>
      </c>
      <c r="E24" s="50" t="s">
        <v>126</v>
      </c>
    </row>
    <row r="25" spans="1:5" ht="6.75" customHeight="1" thickBot="1" x14ac:dyDescent="0.3">
      <c r="B25" s="49"/>
    </row>
    <row r="26" spans="1:5" x14ac:dyDescent="0.25">
      <c r="A26" s="75" t="s">
        <v>65</v>
      </c>
      <c r="B26" s="95"/>
    </row>
    <row r="27" spans="1:5" x14ac:dyDescent="0.25">
      <c r="A27" s="77" t="s">
        <v>64</v>
      </c>
      <c r="B27" s="86">
        <f>(((Balanse!B7+Balanse!C7)/2)/(Resultat!B4*$D$27*1.25))*365</f>
        <v>17.040836278859896</v>
      </c>
      <c r="D27" s="70">
        <v>0.25</v>
      </c>
      <c r="E27" s="50" t="s">
        <v>130</v>
      </c>
    </row>
    <row r="28" spans="1:5" x14ac:dyDescent="0.25">
      <c r="A28" s="77" t="s">
        <v>63</v>
      </c>
      <c r="B28" s="86">
        <f>(((Balanse!B17+Balanse!C17)/2)/((Resultat!B5+Balanse!B6-Balanse!C6)*D28*1.25))*365</f>
        <v>38.056462226901814</v>
      </c>
      <c r="D28" s="70">
        <v>1</v>
      </c>
      <c r="E28" s="50" t="s">
        <v>129</v>
      </c>
    </row>
    <row r="29" spans="1:5" x14ac:dyDescent="0.25">
      <c r="A29" s="77" t="s">
        <v>62</v>
      </c>
      <c r="B29" s="86">
        <f>(((Balanse!B6+Balanse!C6)/2)/Resultat!B5)*365</f>
        <v>143.61843583789047</v>
      </c>
    </row>
    <row r="30" spans="1:5" x14ac:dyDescent="0.25">
      <c r="A30" s="77" t="s">
        <v>124</v>
      </c>
      <c r="B30" s="86">
        <f>+B27+B29-B28</f>
        <v>122.60280988984856</v>
      </c>
    </row>
    <row r="31" spans="1:5" x14ac:dyDescent="0.25">
      <c r="A31" s="77" t="s">
        <v>61</v>
      </c>
      <c r="B31" s="92">
        <f>Resultat!B6/Resultat!B4</f>
        <v>0.23742197488155223</v>
      </c>
    </row>
    <row r="32" spans="1:5" x14ac:dyDescent="0.25">
      <c r="A32" s="77" t="s">
        <v>60</v>
      </c>
      <c r="B32" s="86">
        <f>Resultat!$B$2/D32</f>
        <v>1290.5</v>
      </c>
      <c r="D32" s="71">
        <v>20</v>
      </c>
      <c r="E32" s="50" t="s">
        <v>121</v>
      </c>
    </row>
    <row r="33" spans="1:5" x14ac:dyDescent="0.25">
      <c r="A33" s="77" t="s">
        <v>59</v>
      </c>
      <c r="B33" s="86">
        <f>Resultat!$B$2/D33</f>
        <v>86.033333333333331</v>
      </c>
      <c r="D33" s="71">
        <v>300</v>
      </c>
      <c r="E33" s="50" t="s">
        <v>122</v>
      </c>
    </row>
    <row r="34" spans="1:5" x14ac:dyDescent="0.25">
      <c r="A34" s="77" t="s">
        <v>58</v>
      </c>
      <c r="B34" s="86">
        <f>(Resultat!B13+Resultat!B12)-((Balanse!B11+Balanse!C11)/2)*D34</f>
        <v>1027.25</v>
      </c>
      <c r="D34" s="70">
        <v>0.15</v>
      </c>
      <c r="E34" s="50" t="s">
        <v>123</v>
      </c>
    </row>
    <row r="35" spans="1:5" x14ac:dyDescent="0.25">
      <c r="A35" s="77" t="s">
        <v>57</v>
      </c>
      <c r="B35" s="86">
        <f>Resultat!B13-Balanse!C20+Resultat!B7</f>
        <v>3679</v>
      </c>
    </row>
    <row r="36" spans="1:5" x14ac:dyDescent="0.25">
      <c r="A36" s="77" t="s">
        <v>56</v>
      </c>
      <c r="B36" s="86">
        <f>Resultat!B10+Resultat!B7</f>
        <v>2787</v>
      </c>
    </row>
    <row r="37" spans="1:5" ht="15.75" thickBot="1" x14ac:dyDescent="0.3">
      <c r="A37" s="79" t="s">
        <v>55</v>
      </c>
      <c r="B37" s="96">
        <f>'Kontantstrøm_Indirekte modell'!E12</f>
        <v>4441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9220F-8318-496B-B57D-5EF7F57DE248}">
  <dimension ref="A1:I22"/>
  <sheetViews>
    <sheetView showGridLines="0" workbookViewId="0"/>
  </sheetViews>
  <sheetFormatPr defaultColWidth="11.42578125" defaultRowHeight="15" x14ac:dyDescent="0.25"/>
  <cols>
    <col min="1" max="1" width="25" bestFit="1" customWidth="1"/>
  </cols>
  <sheetData>
    <row r="1" spans="1:9" x14ac:dyDescent="0.25">
      <c r="A1" s="101" t="s">
        <v>0</v>
      </c>
      <c r="B1" s="112" t="s">
        <v>147</v>
      </c>
      <c r="C1" s="113"/>
      <c r="D1" s="112" t="s">
        <v>151</v>
      </c>
      <c r="E1" s="113"/>
      <c r="F1" s="112" t="s">
        <v>149</v>
      </c>
      <c r="G1" s="113"/>
      <c r="H1" s="112" t="s">
        <v>148</v>
      </c>
      <c r="I1" s="113"/>
    </row>
    <row r="2" spans="1:9" x14ac:dyDescent="0.25">
      <c r="A2" s="102" t="s">
        <v>51</v>
      </c>
      <c r="B2" s="104">
        <v>89962</v>
      </c>
      <c r="C2" s="106">
        <f>+B2/B2</f>
        <v>1</v>
      </c>
      <c r="D2" s="104">
        <v>70565</v>
      </c>
      <c r="E2" s="106">
        <f>+D2/D2</f>
        <v>1</v>
      </c>
      <c r="F2" s="104">
        <v>330316</v>
      </c>
      <c r="G2" s="106">
        <f>+F2/F2</f>
        <v>1</v>
      </c>
      <c r="H2" s="104">
        <v>534923</v>
      </c>
      <c r="I2" s="106">
        <f>+H2/H2</f>
        <v>1</v>
      </c>
    </row>
    <row r="3" spans="1:9" x14ac:dyDescent="0.25">
      <c r="A3" s="103" t="s">
        <v>150</v>
      </c>
      <c r="B3" s="105">
        <v>45601</v>
      </c>
      <c r="C3" s="107">
        <f>+B3/B2</f>
        <v>0.50689179875947621</v>
      </c>
      <c r="D3" s="105">
        <v>53853</v>
      </c>
      <c r="E3" s="107">
        <f>+D3/D2</f>
        <v>0.76316870970027639</v>
      </c>
      <c r="F3" s="105">
        <v>130281</v>
      </c>
      <c r="G3" s="107">
        <f>+F3/F2</f>
        <v>0.39441322854478744</v>
      </c>
      <c r="H3" s="105">
        <v>281580</v>
      </c>
      <c r="I3" s="107">
        <f>+H3/H2</f>
        <v>0.52639351831945902</v>
      </c>
    </row>
    <row r="4" spans="1:9" x14ac:dyDescent="0.25">
      <c r="A4" s="103" t="s">
        <v>4</v>
      </c>
      <c r="B4" s="105">
        <v>13433</v>
      </c>
      <c r="C4" s="107">
        <f>+B4/B2</f>
        <v>0.14931860118716792</v>
      </c>
      <c r="D4" s="105">
        <v>7416</v>
      </c>
      <c r="E4" s="107">
        <f>+D4/D2</f>
        <v>0.1050945936370722</v>
      </c>
      <c r="F4" s="105">
        <v>89202</v>
      </c>
      <c r="G4" s="107">
        <f>+F4/F2</f>
        <v>0.27005049709974693</v>
      </c>
      <c r="H4" s="105">
        <v>75668</v>
      </c>
      <c r="I4" s="107">
        <f>+H4/H2</f>
        <v>0.14145587308827626</v>
      </c>
    </row>
    <row r="5" spans="1:9" x14ac:dyDescent="0.25">
      <c r="A5" s="103" t="s">
        <v>6</v>
      </c>
      <c r="B5" s="105">
        <f>31738+1572</f>
        <v>33310</v>
      </c>
      <c r="C5" s="107">
        <f>+B5/B2</f>
        <v>0.37026744625508545</v>
      </c>
      <c r="D5" s="105">
        <f>399+8160</f>
        <v>8559</v>
      </c>
      <c r="E5" s="107">
        <f>+D5/D2</f>
        <v>0.12129242542336853</v>
      </c>
      <c r="F5" s="105">
        <f>11396+92776</f>
        <v>104172</v>
      </c>
      <c r="G5" s="107">
        <f>+F5/F2</f>
        <v>0.31537073590137926</v>
      </c>
      <c r="H5" s="105">
        <f>3880+100542</f>
        <v>104422</v>
      </c>
      <c r="I5" s="107">
        <f>+H5/H2</f>
        <v>0.19520940397029105</v>
      </c>
    </row>
    <row r="6" spans="1:9" ht="15.75" thickBot="1" x14ac:dyDescent="0.3">
      <c r="A6" s="108" t="s">
        <v>152</v>
      </c>
      <c r="B6" s="109">
        <f>+B2-SUM(B3:B5)</f>
        <v>-2382</v>
      </c>
      <c r="C6" s="110">
        <f>+B6/B2</f>
        <v>-2.6477846201729618E-2</v>
      </c>
      <c r="D6" s="109">
        <f t="shared" ref="D6:F6" si="0">+D2-SUM(D3:D5)</f>
        <v>737</v>
      </c>
      <c r="E6" s="110">
        <f>+D6/D2</f>
        <v>1.044427123928293E-2</v>
      </c>
      <c r="F6" s="109">
        <f t="shared" si="0"/>
        <v>6661</v>
      </c>
      <c r="G6" s="110">
        <f>+F6/F2</f>
        <v>2.016553845408639E-2</v>
      </c>
      <c r="H6" s="109">
        <f>+H2-SUM(H3:H5)</f>
        <v>73253</v>
      </c>
      <c r="I6" s="110">
        <f>+H6/H2</f>
        <v>0.13694120462197362</v>
      </c>
    </row>
    <row r="8" spans="1:9" ht="15.75" thickBot="1" x14ac:dyDescent="0.3"/>
    <row r="9" spans="1:9" x14ac:dyDescent="0.25">
      <c r="A9" s="101" t="s">
        <v>0</v>
      </c>
      <c r="B9" s="112" t="s">
        <v>153</v>
      </c>
      <c r="C9" s="113"/>
      <c r="D9" s="112" t="s">
        <v>156</v>
      </c>
      <c r="E9" s="113"/>
      <c r="F9" s="112" t="s">
        <v>154</v>
      </c>
      <c r="G9" s="113"/>
      <c r="H9" s="112" t="s">
        <v>155</v>
      </c>
      <c r="I9" s="113"/>
    </row>
    <row r="10" spans="1:9" x14ac:dyDescent="0.25">
      <c r="A10" s="102" t="s">
        <v>51</v>
      </c>
      <c r="B10" s="104">
        <v>1456266</v>
      </c>
      <c r="C10" s="106">
        <f>+B10/B10</f>
        <v>1</v>
      </c>
      <c r="D10" s="104">
        <v>1895956</v>
      </c>
      <c r="E10" s="106">
        <f>+D10/D10</f>
        <v>1</v>
      </c>
      <c r="F10" s="104">
        <v>5326312</v>
      </c>
      <c r="G10" s="106">
        <f>+F10/F10</f>
        <v>1</v>
      </c>
      <c r="H10" s="104">
        <v>3908638</v>
      </c>
      <c r="I10" s="106">
        <f>+H10/H10</f>
        <v>1</v>
      </c>
    </row>
    <row r="11" spans="1:9" x14ac:dyDescent="0.25">
      <c r="A11" s="103" t="s">
        <v>150</v>
      </c>
      <c r="B11" s="105">
        <v>0</v>
      </c>
      <c r="C11" s="107">
        <f>+B11/B10</f>
        <v>0</v>
      </c>
      <c r="D11" s="105">
        <v>158983</v>
      </c>
      <c r="E11" s="107">
        <f>+D11/D10</f>
        <v>8.3853739221796286E-2</v>
      </c>
      <c r="F11" s="105">
        <v>635579</v>
      </c>
      <c r="G11" s="107">
        <f>+F11/F10</f>
        <v>0.11932815802003337</v>
      </c>
      <c r="H11" s="105">
        <v>573791</v>
      </c>
      <c r="I11" s="107">
        <f>+H11/H10</f>
        <v>0.14680075258952097</v>
      </c>
    </row>
    <row r="12" spans="1:9" x14ac:dyDescent="0.25">
      <c r="A12" s="103" t="s">
        <v>4</v>
      </c>
      <c r="B12" s="105">
        <v>871139</v>
      </c>
      <c r="C12" s="107">
        <f>+B12/B10</f>
        <v>0.59820046612363398</v>
      </c>
      <c r="D12" s="105">
        <v>1311270</v>
      </c>
      <c r="E12" s="107">
        <f>+D12/D10</f>
        <v>0.69161415138325999</v>
      </c>
      <c r="F12" s="105">
        <v>3491585</v>
      </c>
      <c r="G12" s="107">
        <f>+F12/F10</f>
        <v>0.65553519959026063</v>
      </c>
      <c r="H12" s="105">
        <v>2539494</v>
      </c>
      <c r="I12" s="107">
        <f>+H12/H10</f>
        <v>0.64971327608235907</v>
      </c>
    </row>
    <row r="13" spans="1:9" x14ac:dyDescent="0.25">
      <c r="A13" s="103" t="s">
        <v>6</v>
      </c>
      <c r="B13" s="105">
        <f>47712+362656</f>
        <v>410368</v>
      </c>
      <c r="C13" s="107">
        <f>+B13/B10</f>
        <v>0.28179467212720755</v>
      </c>
      <c r="D13" s="105">
        <f>28714+313489</f>
        <v>342203</v>
      </c>
      <c r="E13" s="107">
        <f>+D13/D10</f>
        <v>0.18049100295576478</v>
      </c>
      <c r="F13" s="105">
        <f>116484+681404</f>
        <v>797888</v>
      </c>
      <c r="G13" s="107">
        <f>+F13/F10</f>
        <v>0.14980121329730589</v>
      </c>
      <c r="H13" s="105">
        <f>50130+646221</f>
        <v>696351</v>
      </c>
      <c r="I13" s="107">
        <f>+H13/H10</f>
        <v>0.17815694367193893</v>
      </c>
    </row>
    <row r="14" spans="1:9" ht="15.75" thickBot="1" x14ac:dyDescent="0.3">
      <c r="A14" s="108" t="s">
        <v>152</v>
      </c>
      <c r="B14" s="109">
        <f>+B10-SUM(B11:B13)</f>
        <v>174759</v>
      </c>
      <c r="C14" s="110">
        <f>+B14/B10</f>
        <v>0.12000486174915846</v>
      </c>
      <c r="D14" s="109">
        <f t="shared" ref="D14" si="1">+D10-SUM(D11:D13)</f>
        <v>83500</v>
      </c>
      <c r="E14" s="110">
        <f>+D14/D10</f>
        <v>4.4041106439178968E-2</v>
      </c>
      <c r="F14" s="109">
        <f t="shared" ref="F14" si="2">+F10-SUM(F11:F13)</f>
        <v>401260</v>
      </c>
      <c r="G14" s="110">
        <f>+F14/F10</f>
        <v>7.5335429092400139E-2</v>
      </c>
      <c r="H14" s="109">
        <f>+H10-SUM(H11:H13)</f>
        <v>99002</v>
      </c>
      <c r="I14" s="110">
        <f>+H14/H10</f>
        <v>2.5329027656181002E-2</v>
      </c>
    </row>
    <row r="16" spans="1:9" ht="15.75" thickBot="1" x14ac:dyDescent="0.3"/>
    <row r="17" spans="1:9" x14ac:dyDescent="0.25">
      <c r="A17" s="101" t="s">
        <v>0</v>
      </c>
      <c r="B17" s="112" t="s">
        <v>157</v>
      </c>
      <c r="C17" s="113"/>
      <c r="D17" s="112" t="s">
        <v>158</v>
      </c>
      <c r="E17" s="113"/>
      <c r="F17" s="112" t="s">
        <v>159</v>
      </c>
      <c r="G17" s="113"/>
      <c r="H17" s="112" t="s">
        <v>160</v>
      </c>
      <c r="I17" s="113"/>
    </row>
    <row r="18" spans="1:9" x14ac:dyDescent="0.25">
      <c r="A18" s="102" t="s">
        <v>51</v>
      </c>
      <c r="B18" s="104">
        <v>20674</v>
      </c>
      <c r="C18" s="106">
        <f>+B18/B18</f>
        <v>1</v>
      </c>
      <c r="D18" s="104">
        <v>18349</v>
      </c>
      <c r="E18" s="106">
        <f>+D18/D18</f>
        <v>1</v>
      </c>
      <c r="F18" s="104">
        <v>3593</v>
      </c>
      <c r="G18" s="106">
        <f>+F18/F18</f>
        <v>1</v>
      </c>
      <c r="H18" s="104">
        <v>51729</v>
      </c>
      <c r="I18" s="106">
        <f>+H18/H18</f>
        <v>1</v>
      </c>
    </row>
    <row r="19" spans="1:9" x14ac:dyDescent="0.25">
      <c r="A19" s="103" t="s">
        <v>150</v>
      </c>
      <c r="B19" s="105">
        <v>4394</v>
      </c>
      <c r="C19" s="107">
        <f>+B19/B18</f>
        <v>0.21253748669826836</v>
      </c>
      <c r="D19" s="105">
        <f>1172-403</f>
        <v>769</v>
      </c>
      <c r="E19" s="107">
        <f>+D19/D18</f>
        <v>4.1909640852362526E-2</v>
      </c>
      <c r="F19" s="105">
        <v>0</v>
      </c>
      <c r="G19" s="107">
        <f>+F19/F18</f>
        <v>0</v>
      </c>
      <c r="H19" s="105">
        <v>37</v>
      </c>
      <c r="I19" s="107">
        <f>+H19/H18</f>
        <v>7.1526609832009121E-4</v>
      </c>
    </row>
    <row r="20" spans="1:9" x14ac:dyDescent="0.25">
      <c r="A20" s="103" t="s">
        <v>4</v>
      </c>
      <c r="B20" s="105">
        <v>9933</v>
      </c>
      <c r="C20" s="107">
        <f>+B20/B18</f>
        <v>0.48045854696720519</v>
      </c>
      <c r="D20" s="105">
        <v>6783</v>
      </c>
      <c r="E20" s="107">
        <f>+D20/D18</f>
        <v>0.36966592184860209</v>
      </c>
      <c r="F20" s="105">
        <v>2154</v>
      </c>
      <c r="G20" s="107">
        <f>+F20/F18</f>
        <v>0.59949902588366266</v>
      </c>
      <c r="H20" s="105">
        <v>25230</v>
      </c>
      <c r="I20" s="107">
        <f>+H20/H18</f>
        <v>0.48773415298961897</v>
      </c>
    </row>
    <row r="21" spans="1:9" x14ac:dyDescent="0.25">
      <c r="A21" s="103" t="s">
        <v>6</v>
      </c>
      <c r="B21" s="105">
        <f>711+6085</f>
        <v>6796</v>
      </c>
      <c r="C21" s="107">
        <f>+B21/B18</f>
        <v>0.32872206636354839</v>
      </c>
      <c r="D21" s="105">
        <f>465+5782</f>
        <v>6247</v>
      </c>
      <c r="E21" s="107">
        <f>+D21/D18</f>
        <v>0.34045452068232601</v>
      </c>
      <c r="F21" s="105">
        <f>128+1206</f>
        <v>1334</v>
      </c>
      <c r="G21" s="107">
        <f>+F21/F18</f>
        <v>0.37127748399666016</v>
      </c>
      <c r="H21" s="105">
        <f>1395+23261</f>
        <v>24656</v>
      </c>
      <c r="I21" s="107">
        <f>+H21/H18</f>
        <v>0.47663786270757214</v>
      </c>
    </row>
    <row r="22" spans="1:9" ht="15.75" thickBot="1" x14ac:dyDescent="0.3">
      <c r="A22" s="108" t="s">
        <v>152</v>
      </c>
      <c r="B22" s="109">
        <f>+B18-SUM(B19:B21)</f>
        <v>-449</v>
      </c>
      <c r="C22" s="110">
        <f>+B22/B18</f>
        <v>-2.1718100029021959E-2</v>
      </c>
      <c r="D22" s="109">
        <f t="shared" ref="D22" si="3">+D18-SUM(D19:D21)</f>
        <v>4550</v>
      </c>
      <c r="E22" s="110">
        <f>+D22/D18</f>
        <v>0.24796991661670936</v>
      </c>
      <c r="F22" s="109">
        <f t="shared" ref="F22:H22" si="4">+F18-SUM(F19:F21)</f>
        <v>105</v>
      </c>
      <c r="G22" s="110">
        <f>+F22/F18</f>
        <v>2.9223490119677151E-2</v>
      </c>
      <c r="H22" s="109">
        <f t="shared" si="4"/>
        <v>1806</v>
      </c>
      <c r="I22" s="110">
        <f>+H22/H18</f>
        <v>3.4912718204488775E-2</v>
      </c>
    </row>
  </sheetData>
  <mergeCells count="12">
    <mergeCell ref="B17:C17"/>
    <mergeCell ref="D17:E17"/>
    <mergeCell ref="F17:G17"/>
    <mergeCell ref="H17:I17"/>
    <mergeCell ref="B1:C1"/>
    <mergeCell ref="D1:E1"/>
    <mergeCell ref="F1:G1"/>
    <mergeCell ref="H1:I1"/>
    <mergeCell ref="B9:C9"/>
    <mergeCell ref="D9:E9"/>
    <mergeCell ref="F9:G9"/>
    <mergeCell ref="H9:I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3"/>
  <sheetViews>
    <sheetView showGridLines="0" workbookViewId="0"/>
  </sheetViews>
  <sheetFormatPr defaultColWidth="9.140625" defaultRowHeight="15" x14ac:dyDescent="0.25"/>
  <cols>
    <col min="1" max="1" width="2.5703125" style="1" customWidth="1"/>
    <col min="2" max="2" width="13.7109375" style="1" bestFit="1" customWidth="1"/>
    <col min="3" max="3" width="5.7109375" style="1" customWidth="1"/>
    <col min="4" max="4" width="2.7109375" style="1" customWidth="1"/>
    <col min="5" max="5" width="11.7109375" style="1" bestFit="1" customWidth="1"/>
    <col min="6" max="6" width="5.7109375" style="1" customWidth="1"/>
    <col min="7" max="7" width="2.7109375" style="1" customWidth="1"/>
    <col min="8" max="8" width="14.42578125" style="1" bestFit="1" customWidth="1"/>
    <col min="9" max="9" width="5.7109375" style="1" customWidth="1"/>
    <col min="10" max="10" width="2.7109375" style="1" customWidth="1"/>
    <col min="11" max="11" width="15" style="1" bestFit="1" customWidth="1"/>
    <col min="12" max="12" width="5.7109375" style="1" customWidth="1"/>
    <col min="13" max="13" width="2.7109375" style="1" customWidth="1"/>
    <col min="14" max="14" width="10.28515625" style="1" bestFit="1" customWidth="1"/>
    <col min="15" max="15" width="2.5703125" style="1" customWidth="1"/>
    <col min="16" max="16384" width="9.140625" style="1"/>
  </cols>
  <sheetData>
    <row r="1" spans="1:17" ht="15.75" x14ac:dyDescent="0.25">
      <c r="A1" s="29" t="s">
        <v>40</v>
      </c>
      <c r="B1" s="4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7" ht="15.7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29</v>
      </c>
      <c r="O2" s="35"/>
      <c r="Q2" s="52" t="s">
        <v>135</v>
      </c>
    </row>
    <row r="3" spans="1:17" ht="15.75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6">
        <f>(Balanse!B9+Balanse!C9)/2</f>
        <v>6462.5</v>
      </c>
      <c r="O3" s="35"/>
    </row>
    <row r="4" spans="1:17" ht="15.75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7" t="s">
        <v>41</v>
      </c>
      <c r="O4" s="35"/>
    </row>
    <row r="5" spans="1:17" ht="15.75" x14ac:dyDescent="0.25">
      <c r="A5" s="32"/>
      <c r="B5" s="33"/>
      <c r="C5" s="33"/>
      <c r="D5" s="33"/>
      <c r="E5" s="33"/>
      <c r="F5" s="33"/>
      <c r="G5" s="33"/>
      <c r="H5" s="34" t="s">
        <v>51</v>
      </c>
      <c r="I5" s="33"/>
      <c r="J5" s="33"/>
      <c r="K5" s="33"/>
      <c r="L5" s="33"/>
      <c r="M5" s="33"/>
      <c r="N5" s="34" t="s">
        <v>42</v>
      </c>
      <c r="O5" s="35"/>
    </row>
    <row r="6" spans="1:17" ht="15.75" x14ac:dyDescent="0.25">
      <c r="A6" s="32"/>
      <c r="B6" s="33"/>
      <c r="C6" s="33"/>
      <c r="D6" s="33"/>
      <c r="E6" s="33"/>
      <c r="F6" s="33"/>
      <c r="G6" s="33"/>
      <c r="H6" s="36">
        <f>Resultat!B4</f>
        <v>26594</v>
      </c>
      <c r="I6" s="33"/>
      <c r="J6" s="33"/>
      <c r="K6" s="33"/>
      <c r="L6" s="33"/>
      <c r="M6" s="33"/>
      <c r="N6" s="36">
        <f>(Balanse!B7+Balanse!C7+Balanse!B8+Balanse!C8)/2</f>
        <v>3193</v>
      </c>
      <c r="O6" s="35"/>
    </row>
    <row r="7" spans="1:17" ht="15.75" x14ac:dyDescent="0.25">
      <c r="A7" s="32"/>
      <c r="B7" s="33"/>
      <c r="C7" s="33"/>
      <c r="D7" s="33"/>
      <c r="E7" s="34" t="s">
        <v>43</v>
      </c>
      <c r="F7" s="33"/>
      <c r="G7" s="33"/>
      <c r="H7" s="37" t="s">
        <v>44</v>
      </c>
      <c r="I7" s="33"/>
      <c r="J7" s="33"/>
      <c r="K7" s="34" t="s">
        <v>45</v>
      </c>
      <c r="L7" s="33"/>
      <c r="M7" s="33"/>
      <c r="N7" s="37" t="s">
        <v>41</v>
      </c>
      <c r="O7" s="35"/>
    </row>
    <row r="8" spans="1:17" ht="15.75" x14ac:dyDescent="0.25">
      <c r="A8" s="32"/>
      <c r="B8" s="33"/>
      <c r="C8" s="33"/>
      <c r="D8" s="33"/>
      <c r="E8" s="38">
        <f>+H6/H9</f>
        <v>1.2944268678510586</v>
      </c>
      <c r="F8" s="33"/>
      <c r="G8" s="33"/>
      <c r="H8" s="34" t="s">
        <v>46</v>
      </c>
      <c r="I8" s="33"/>
      <c r="J8" s="33"/>
      <c r="K8" s="39">
        <f>+N3+N6+N9</f>
        <v>14908</v>
      </c>
      <c r="L8" s="33"/>
      <c r="M8" s="33"/>
      <c r="N8" s="34" t="s">
        <v>27</v>
      </c>
      <c r="O8" s="35"/>
    </row>
    <row r="9" spans="1:17" ht="15.75" x14ac:dyDescent="0.25">
      <c r="A9" s="32"/>
      <c r="B9" s="33"/>
      <c r="C9" s="33"/>
      <c r="D9" s="33"/>
      <c r="E9" s="33"/>
      <c r="F9" s="33"/>
      <c r="G9" s="33"/>
      <c r="H9" s="39">
        <f>+K8+K11</f>
        <v>20545</v>
      </c>
      <c r="I9" s="33"/>
      <c r="J9" s="33"/>
      <c r="K9" s="37" t="s">
        <v>41</v>
      </c>
      <c r="L9" s="33"/>
      <c r="M9" s="33"/>
      <c r="N9" s="36">
        <f>(Balanse!B6+Balanse!C6)/2</f>
        <v>5252.5</v>
      </c>
      <c r="O9" s="35"/>
    </row>
    <row r="10" spans="1:17" ht="15.75" x14ac:dyDescent="0.2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4" t="s">
        <v>47</v>
      </c>
      <c r="L10" s="33"/>
      <c r="M10" s="33"/>
      <c r="N10" s="33"/>
      <c r="O10" s="35"/>
    </row>
    <row r="11" spans="1:17" ht="15.75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6">
        <f>(Balanse!B5+Balanse!C5)/2</f>
        <v>5637</v>
      </c>
      <c r="L11" s="33"/>
      <c r="M11" s="33"/>
      <c r="N11" s="33"/>
      <c r="O11" s="35"/>
    </row>
    <row r="12" spans="1:17" ht="15.75" x14ac:dyDescent="0.25">
      <c r="A12" s="32"/>
      <c r="B12" s="34" t="s">
        <v>48</v>
      </c>
      <c r="C12" s="33"/>
      <c r="D12" s="33"/>
      <c r="E12" s="37" t="s">
        <v>49</v>
      </c>
      <c r="F12" s="33"/>
      <c r="G12" s="33"/>
      <c r="H12" s="33"/>
      <c r="I12" s="33"/>
      <c r="J12" s="33"/>
      <c r="K12" s="33"/>
      <c r="L12" s="33"/>
      <c r="M12" s="33"/>
      <c r="N12" s="33"/>
      <c r="O12" s="35"/>
    </row>
    <row r="13" spans="1:17" ht="15.75" x14ac:dyDescent="0.25">
      <c r="A13" s="32"/>
      <c r="B13" s="41">
        <f>E8*E18</f>
        <v>0.2</v>
      </c>
      <c r="C13" s="40"/>
      <c r="D13" s="33"/>
      <c r="E13" s="33"/>
      <c r="F13" s="40"/>
      <c r="G13" s="33"/>
      <c r="H13" s="33"/>
      <c r="I13" s="40"/>
      <c r="J13" s="33"/>
      <c r="K13" s="33"/>
      <c r="L13" s="40"/>
      <c r="M13" s="33"/>
      <c r="N13" s="33"/>
      <c r="O13" s="35"/>
    </row>
    <row r="14" spans="1:17" ht="15.75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5"/>
    </row>
    <row r="15" spans="1:17" ht="15.75" x14ac:dyDescent="0.25">
      <c r="A15" s="32"/>
      <c r="B15" s="33"/>
      <c r="C15" s="33"/>
      <c r="D15" s="33"/>
      <c r="E15" s="33"/>
      <c r="F15" s="33"/>
      <c r="G15" s="33"/>
      <c r="H15" s="34" t="s">
        <v>50</v>
      </c>
      <c r="I15" s="33"/>
      <c r="J15" s="33"/>
      <c r="K15" s="34" t="s">
        <v>51</v>
      </c>
      <c r="L15" s="33"/>
      <c r="M15" s="33"/>
      <c r="N15" s="33"/>
      <c r="O15" s="35"/>
    </row>
    <row r="16" spans="1:17" ht="15.75" x14ac:dyDescent="0.25">
      <c r="A16" s="32"/>
      <c r="B16" s="33"/>
      <c r="C16" s="33"/>
      <c r="D16" s="33"/>
      <c r="E16" s="33"/>
      <c r="F16" s="33"/>
      <c r="G16" s="33"/>
      <c r="H16" s="39">
        <f>+K16-K19+K22</f>
        <v>4109</v>
      </c>
      <c r="I16" s="33"/>
      <c r="J16" s="33"/>
      <c r="K16" s="36">
        <f>Resultat!B4</f>
        <v>26594</v>
      </c>
      <c r="L16" s="33"/>
      <c r="M16" s="33"/>
      <c r="N16" s="33"/>
      <c r="O16" s="35"/>
    </row>
    <row r="17" spans="1:15" ht="15.75" x14ac:dyDescent="0.25">
      <c r="A17" s="32"/>
      <c r="B17" s="33"/>
      <c r="C17" s="33"/>
      <c r="D17" s="33"/>
      <c r="E17" s="34" t="s">
        <v>52</v>
      </c>
      <c r="F17" s="33"/>
      <c r="G17" s="33"/>
      <c r="H17" s="37" t="s">
        <v>44</v>
      </c>
      <c r="I17" s="33"/>
      <c r="J17" s="33"/>
      <c r="K17" s="37" t="s">
        <v>53</v>
      </c>
      <c r="L17" s="33"/>
      <c r="M17" s="33"/>
      <c r="N17" s="33"/>
      <c r="O17" s="35"/>
    </row>
    <row r="18" spans="1:15" ht="15.75" x14ac:dyDescent="0.25">
      <c r="A18" s="32"/>
      <c r="B18" s="33"/>
      <c r="C18" s="33"/>
      <c r="D18" s="33"/>
      <c r="E18" s="41">
        <f>+H16/H19</f>
        <v>0.15450853575994586</v>
      </c>
      <c r="F18" s="33"/>
      <c r="G18" s="33"/>
      <c r="H18" s="34" t="s">
        <v>51</v>
      </c>
      <c r="I18" s="33"/>
      <c r="J18" s="33"/>
      <c r="K18" s="34" t="s">
        <v>54</v>
      </c>
      <c r="L18" s="33"/>
      <c r="M18" s="33"/>
      <c r="N18" s="33"/>
      <c r="O18" s="35"/>
    </row>
    <row r="19" spans="1:15" ht="15.75" x14ac:dyDescent="0.25">
      <c r="A19" s="32"/>
      <c r="B19" s="33"/>
      <c r="C19" s="33"/>
      <c r="D19" s="33"/>
      <c r="E19" s="33"/>
      <c r="F19" s="33"/>
      <c r="G19" s="33"/>
      <c r="H19" s="39">
        <f>+H6</f>
        <v>26594</v>
      </c>
      <c r="I19" s="33"/>
      <c r="J19" s="33"/>
      <c r="K19" s="36">
        <f>Resultat!B9</f>
        <v>24122</v>
      </c>
      <c r="L19" s="33"/>
      <c r="M19" s="33"/>
      <c r="N19" s="33"/>
      <c r="O19" s="35"/>
    </row>
    <row r="20" spans="1:15" ht="15.75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7" t="s">
        <v>41</v>
      </c>
      <c r="L20" s="33"/>
      <c r="M20" s="33"/>
      <c r="N20" s="33"/>
      <c r="O20" s="35"/>
    </row>
    <row r="21" spans="1:15" ht="15.75" x14ac:dyDescent="0.2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4" t="s">
        <v>9</v>
      </c>
      <c r="L21" s="33"/>
      <c r="M21" s="33"/>
      <c r="N21" s="33"/>
      <c r="O21" s="35"/>
    </row>
    <row r="22" spans="1:15" ht="15.75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6">
        <f>Resultat!B11</f>
        <v>1637</v>
      </c>
      <c r="L22" s="33"/>
      <c r="M22" s="33"/>
      <c r="N22" s="33"/>
      <c r="O22" s="35"/>
    </row>
    <row r="23" spans="1:15" ht="16.5" thickBo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</row>
  </sheetData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Resultat</vt:lpstr>
      <vt:lpstr>Balanse</vt:lpstr>
      <vt:lpstr>Kontantstrøm_Indirekte modell</vt:lpstr>
      <vt:lpstr>Nøkkeltall</vt:lpstr>
      <vt:lpstr>Vertikal analyse</vt:lpstr>
      <vt:lpstr>DuPont</vt:lpstr>
    </vt:vector>
  </TitlesOfParts>
  <Company>BI Norwegian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Berg, Terje</dc:creator>
  <cp:lastModifiedBy>Terje Berg</cp:lastModifiedBy>
  <cp:lastPrinted>2017-01-09T13:20:04Z</cp:lastPrinted>
  <dcterms:created xsi:type="dcterms:W3CDTF">2014-09-24T16:45:28Z</dcterms:created>
  <dcterms:modified xsi:type="dcterms:W3CDTF">2021-03-16T11:35:11Z</dcterms:modified>
</cp:coreProperties>
</file>